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8"/>
  <workbookPr codeName="ThisWorkbook" defaultThemeVersion="166925"/>
  <mc:AlternateContent xmlns:mc="http://schemas.openxmlformats.org/markup-compatibility/2006">
    <mc:Choice Requires="x15">
      <x15ac:absPath xmlns:x15ac="http://schemas.microsoft.com/office/spreadsheetml/2010/11/ac" url="https://iberdrolaus.sharepoint.com/sites/NYSEGRGEBulkEnergyStorageRFP/Documentos compartidos/General/R4 Bulk Energy Storage RFP/R4 RFP Documents/Final Word Versions/"/>
    </mc:Choice>
  </mc:AlternateContent>
  <xr:revisionPtr revIDLastSave="0" documentId="8_{4CF2E7AE-7971-43EB-863D-60C12BA94C1B}" xr6:coauthVersionLast="47" xr6:coauthVersionMax="47" xr10:uidLastSave="{00000000-0000-0000-0000-000000000000}"/>
  <workbookProtection workbookAlgorithmName="SHA-512" workbookHashValue="D+y6L/vT1/+N86nGkmDu/XRXzLIK1CcNnu+He/GZRTfp+JtXTLdqCsx+YA1NlDBN4fPRi7rWdVi2ebFCmx/eMA==" workbookSaltValue="bSLOUEhUYGyEcICOgtPXfw==" workbookSpinCount="100000" lockStructure="1"/>
  <bookViews>
    <workbookView xWindow="-120" yWindow="-120" windowWidth="29040" windowHeight="15840" tabRatio="835" firstSheet="8" activeTab="8" xr2:uid="{00000000-000D-0000-FFFF-FFFF00000000}"/>
  </bookViews>
  <sheets>
    <sheet name="All_Fields" sheetId="10" state="hidden" r:id="rId1"/>
    <sheet name="Lists" sheetId="1" state="hidden" r:id="rId2"/>
    <sheet name="Validation" sheetId="3" state="hidden" r:id="rId3"/>
    <sheet name="Instructions" sheetId="2" r:id="rId4"/>
    <sheet name="Bidder Information" sheetId="4" r:id="rId5"/>
    <sheet name="Project Information" sheetId="5" r:id="rId6"/>
    <sheet name="Project Status Summary" sheetId="12" r:id="rId7"/>
    <sheet name="Warranty Summary" sheetId="11" r:id="rId8"/>
    <sheet name="Project Cost and Offer Price" sheetId="9" r:id="rId9"/>
    <sheet name="Operating Information" sheetId="6" r:id="rId10"/>
    <sheet name="Scope Checklist" sheetId="13" r:id="rId11"/>
    <sheet name="Team Experience" sheetId="14" r:id="rId1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I_as_ascnonspin" localSheetId="6">#REF!</definedName>
    <definedName name="OI_as_ascnonspin" localSheetId="10">#REF!</definedName>
    <definedName name="OI_as_ascnonspin" localSheetId="11">#REF!</definedName>
    <definedName name="OI_as_ascnonspin" localSheetId="7">#REF!</definedName>
    <definedName name="OI_as_ascnonspin">'Operating Information'!$E$71</definedName>
    <definedName name="OI_as_ascreg" localSheetId="6">#REF!</definedName>
    <definedName name="OI_as_ascreg" localSheetId="10">#REF!</definedName>
    <definedName name="OI_as_ascreg" localSheetId="11">#REF!</definedName>
    <definedName name="OI_as_ascreg" localSheetId="7">#REF!</definedName>
    <definedName name="OI_as_ascreg">'Operating Information'!$G$71</definedName>
    <definedName name="OI_as_ascspin" localSheetId="6">#REF!</definedName>
    <definedName name="OI_as_ascspin" localSheetId="10">#REF!</definedName>
    <definedName name="OI_as_ascspin" localSheetId="11">#REF!</definedName>
    <definedName name="OI_as_ascspin" localSheetId="7">#REF!</definedName>
    <definedName name="OI_as_ascspin">'Operating Information'!$C$71</definedName>
    <definedName name="OI_as_belnonspin" localSheetId="6">#REF!</definedName>
    <definedName name="OI_as_belnonspin" localSheetId="10">#REF!</definedName>
    <definedName name="OI_as_belnonspin" localSheetId="11">#REF!</definedName>
    <definedName name="OI_as_belnonspin" localSheetId="7">#REF!</definedName>
    <definedName name="OI_as_belnonspin">'Operating Information'!$E$70</definedName>
    <definedName name="OI_as_belreg" localSheetId="6">#REF!</definedName>
    <definedName name="OI_as_belreg" localSheetId="10">#REF!</definedName>
    <definedName name="OI_as_belreg" localSheetId="11">#REF!</definedName>
    <definedName name="OI_as_belreg" localSheetId="7">#REF!</definedName>
    <definedName name="OI_as_belreg">'Operating Information'!$G$70</definedName>
    <definedName name="OI_as_belspin" localSheetId="6">#REF!</definedName>
    <definedName name="OI_as_belspin" localSheetId="10">#REF!</definedName>
    <definedName name="OI_as_belspin" localSheetId="11">#REF!</definedName>
    <definedName name="OI_as_belspin" localSheetId="7">#REF!</definedName>
    <definedName name="OI_as_belspin">'Operating Information'!$C$70</definedName>
    <definedName name="OI_as_errspin" localSheetId="6">#REF!</definedName>
    <definedName name="OI_as_errspin" localSheetId="10">#REF!</definedName>
    <definedName name="OI_as_errspin" localSheetId="11">#REF!</definedName>
    <definedName name="OI_as_errspin" localSheetId="7">#REF!</definedName>
    <definedName name="OI_as_errspin">'Operating Information'!$C$72</definedName>
    <definedName name="OI_as_maxornonspin" localSheetId="6">#REF!</definedName>
    <definedName name="OI_as_maxornonspin" localSheetId="10">#REF!</definedName>
    <definedName name="OI_as_maxornonspin" localSheetId="11">#REF!</definedName>
    <definedName name="OI_as_maxornonspin" localSheetId="7">#REF!</definedName>
    <definedName name="OI_as_maxornonspin">'Operating Information'!$E$69</definedName>
    <definedName name="OI_as_maxorreg" localSheetId="6">#REF!</definedName>
    <definedName name="OI_as_maxorreg" localSheetId="10">#REF!</definedName>
    <definedName name="OI_as_maxorreg" localSheetId="11">#REF!</definedName>
    <definedName name="OI_as_maxorreg" localSheetId="7">#REF!</definedName>
    <definedName name="OI_as_maxorreg">'Operating Information'!$G$69</definedName>
    <definedName name="OI_as_maxorspin" localSheetId="6">#REF!</definedName>
    <definedName name="OI_as_maxorspin" localSheetId="10">#REF!</definedName>
    <definedName name="OI_as_maxorspin" localSheetId="11">#REF!</definedName>
    <definedName name="OI_as_maxorspin" localSheetId="7">#REF!</definedName>
    <definedName name="OI_as_maxorspin">'Operating Information'!$C$69</definedName>
    <definedName name="OI_as_minornonspin" localSheetId="6">#REF!</definedName>
    <definedName name="OI_as_minornonspin" localSheetId="10">#REF!</definedName>
    <definedName name="OI_as_minornonspin" localSheetId="11">#REF!</definedName>
    <definedName name="OI_as_minornonspin" localSheetId="7">#REF!</definedName>
    <definedName name="OI_as_minornonspin">'Operating Information'!$E$68</definedName>
    <definedName name="OI_as_minorreg" localSheetId="6">#REF!</definedName>
    <definedName name="OI_as_minorreg" localSheetId="10">#REF!</definedName>
    <definedName name="OI_as_minorreg" localSheetId="11">#REF!</definedName>
    <definedName name="OI_as_minorreg" localSheetId="7">#REF!</definedName>
    <definedName name="OI_as_minorreg">'Operating Information'!$G$68</definedName>
    <definedName name="OI_as_minorspin" localSheetId="6">#REF!</definedName>
    <definedName name="OI_as_minorspin" localSheetId="10">#REF!</definedName>
    <definedName name="OI_as_minorspin" localSheetId="11">#REF!</definedName>
    <definedName name="OI_as_minorspin" localSheetId="7">#REF!</definedName>
    <definedName name="OI_as_minorspin">'Operating Information'!$C$68</definedName>
    <definedName name="OI_as_rrnonspin" localSheetId="6">#REF!</definedName>
    <definedName name="OI_as_rrnonspin" localSheetId="10">#REF!</definedName>
    <definedName name="OI_as_rrnonspin" localSheetId="11">#REF!</definedName>
    <definedName name="OI_as_rrnonspin" localSheetId="7">#REF!</definedName>
    <definedName name="OI_as_rrnonspin">'Operating Information'!$E$67</definedName>
    <definedName name="OI_as_rrreg" localSheetId="6">#REF!</definedName>
    <definedName name="OI_as_rrreg" localSheetId="10">#REF!</definedName>
    <definedName name="OI_as_rrreg" localSheetId="11">#REF!</definedName>
    <definedName name="OI_as_rrreg" localSheetId="7">#REF!</definedName>
    <definedName name="OI_as_rrreg">'Operating Information'!$G$67</definedName>
    <definedName name="OI_as_rrspin" localSheetId="6">#REF!</definedName>
    <definedName name="OI_as_rrspin" localSheetId="10">#REF!</definedName>
    <definedName name="OI_as_rrspin" localSheetId="11">#REF!</definedName>
    <definedName name="OI_as_rrspin" localSheetId="7">#REF!</definedName>
    <definedName name="OI_as_rrspin">'Operating Information'!$C$67</definedName>
    <definedName name="OI_cl_maxac">'Operating Information'!$C$61</definedName>
    <definedName name="OI_cl_maxdc">'Operating Information'!$C$59</definedName>
    <definedName name="OI_cl_maxlc">'Operating Information'!$C$62</definedName>
    <definedName name="OI_cl_maxmc">'Operating Information'!$C$60</definedName>
    <definedName name="OI_dtl_dtrcpmin">'Operating Information'!$C$44</definedName>
    <definedName name="OI_dtl_dtrdpmin">'Operating Information'!$C$43</definedName>
    <definedName name="OI_dtl_nst">'Operating Information'!$C$39</definedName>
    <definedName name="OI_dtl_rtcpmin">'Operating Information'!$C$41</definedName>
    <definedName name="OI_dtl_rtdpmin">'Operating Information'!$C$42</definedName>
    <definedName name="OI_dtl_tuds">'Operating Information'!$C$40</definedName>
    <definedName name="OI_param_aacd">'Operating Information'!#REF!</definedName>
    <definedName name="OI_param_acr" localSheetId="6">#REF!</definedName>
    <definedName name="OI_param_acr" localSheetId="10">#REF!</definedName>
    <definedName name="OI_param_acr" localSheetId="11">#REF!</definedName>
    <definedName name="OI_param_acr" localSheetId="7">#REF!</definedName>
    <definedName name="OI_param_acr">'Operating Information'!#REF!</definedName>
    <definedName name="OI_param_acr_Apr" localSheetId="6">#REF!</definedName>
    <definedName name="OI_param_acr_Apr" localSheetId="10">#REF!</definedName>
    <definedName name="OI_param_acr_Apr" localSheetId="11">#REF!</definedName>
    <definedName name="OI_param_acr_Apr" localSheetId="7">#REF!</definedName>
    <definedName name="OI_param_acr_Apr">'Operating Information'!#REF!</definedName>
    <definedName name="OI_param_acr_Aug" localSheetId="6">#REF!</definedName>
    <definedName name="OI_param_acr_Aug" localSheetId="10">#REF!</definedName>
    <definedName name="OI_param_acr_Aug" localSheetId="11">#REF!</definedName>
    <definedName name="OI_param_acr_Aug" localSheetId="7">#REF!</definedName>
    <definedName name="OI_param_acr_Aug">'Operating Information'!#REF!</definedName>
    <definedName name="OI_param_acr_Dec" localSheetId="6">#REF!</definedName>
    <definedName name="OI_param_acr_Dec" localSheetId="10">#REF!</definedName>
    <definedName name="OI_param_acr_Dec" localSheetId="11">#REF!</definedName>
    <definedName name="OI_param_acr_Dec" localSheetId="7">#REF!</definedName>
    <definedName name="OI_param_acr_Dec">'Operating Information'!#REF!</definedName>
    <definedName name="OI_param_acr_Feb" localSheetId="6">#REF!</definedName>
    <definedName name="OI_param_acr_Feb" localSheetId="10">#REF!</definedName>
    <definedName name="OI_param_acr_Feb" localSheetId="11">#REF!</definedName>
    <definedName name="OI_param_acr_Feb" localSheetId="7">#REF!</definedName>
    <definedName name="OI_param_acr_Feb">'Operating Information'!#REF!</definedName>
    <definedName name="OI_param_acr_Jan" localSheetId="6">#REF!</definedName>
    <definedName name="OI_param_acr_Jan" localSheetId="10">#REF!</definedName>
    <definedName name="OI_param_acr_Jan" localSheetId="11">#REF!</definedName>
    <definedName name="OI_param_acr_Jan" localSheetId="7">#REF!</definedName>
    <definedName name="OI_param_acr_Jan">'Operating Information'!#REF!</definedName>
    <definedName name="OI_param_acr_Jul" localSheetId="6">#REF!</definedName>
    <definedName name="OI_param_acr_Jul" localSheetId="10">#REF!</definedName>
    <definedName name="OI_param_acr_Jul" localSheetId="11">#REF!</definedName>
    <definedName name="OI_param_acr_Jul" localSheetId="7">#REF!</definedName>
    <definedName name="OI_param_acr_Jul">'Operating Information'!#REF!</definedName>
    <definedName name="OI_param_acr_Jun" localSheetId="6">#REF!</definedName>
    <definedName name="OI_param_acr_Jun" localSheetId="10">#REF!</definedName>
    <definedName name="OI_param_acr_Jun" localSheetId="11">#REF!</definedName>
    <definedName name="OI_param_acr_Jun" localSheetId="7">#REF!</definedName>
    <definedName name="OI_param_acr_Jun">'Operating Information'!#REF!</definedName>
    <definedName name="OI_param_acr_Mar" localSheetId="6">#REF!</definedName>
    <definedName name="OI_param_acr_Mar" localSheetId="10">#REF!</definedName>
    <definedName name="OI_param_acr_Mar" localSheetId="11">#REF!</definedName>
    <definedName name="OI_param_acr_Mar" localSheetId="7">#REF!</definedName>
    <definedName name="OI_param_acr_Mar">'Operating Information'!#REF!</definedName>
    <definedName name="OI_param_acr_May" localSheetId="6">#REF!</definedName>
    <definedName name="OI_param_acr_May" localSheetId="10">#REF!</definedName>
    <definedName name="OI_param_acr_May" localSheetId="11">#REF!</definedName>
    <definedName name="OI_param_acr_May" localSheetId="7">#REF!</definedName>
    <definedName name="OI_param_acr_May">'Operating Information'!#REF!</definedName>
    <definedName name="OI_param_acr_Nov" localSheetId="6">#REF!</definedName>
    <definedName name="OI_param_acr_Nov" localSheetId="10">#REF!</definedName>
    <definedName name="OI_param_acr_Nov" localSheetId="11">#REF!</definedName>
    <definedName name="OI_param_acr_Nov" localSheetId="7">#REF!</definedName>
    <definedName name="OI_param_acr_Nov">'Operating Information'!#REF!</definedName>
    <definedName name="OI_param_acr_Oct" localSheetId="6">#REF!</definedName>
    <definedName name="OI_param_acr_Oct" localSheetId="10">#REF!</definedName>
    <definedName name="OI_param_acr_Oct" localSheetId="11">#REF!</definedName>
    <definedName name="OI_param_acr_Oct" localSheetId="7">#REF!</definedName>
    <definedName name="OI_param_acr_Oct">'Operating Information'!#REF!</definedName>
    <definedName name="OI_param_acr_Sep" localSheetId="6">#REF!</definedName>
    <definedName name="OI_param_acr_Sep" localSheetId="10">#REF!</definedName>
    <definedName name="OI_param_acr_Sep" localSheetId="11">#REF!</definedName>
    <definedName name="OI_param_acr_Sep" localSheetId="7">#REF!</definedName>
    <definedName name="OI_param_acr_Sep">'Operating Information'!#REF!</definedName>
    <definedName name="OI_param_acr_var" localSheetId="6">#REF!</definedName>
    <definedName name="OI_param_acr_var" localSheetId="10">#REF!</definedName>
    <definedName name="OI_param_acr_var" localSheetId="11">#REF!</definedName>
    <definedName name="OI_param_acr_var" localSheetId="7">#REF!</definedName>
    <definedName name="OI_param_acr_var">'Operating Information'!#REF!</definedName>
    <definedName name="OI_param_adr" localSheetId="6">#REF!</definedName>
    <definedName name="OI_param_adr" localSheetId="10">#REF!</definedName>
    <definedName name="OI_param_adr" localSheetId="11">#REF!</definedName>
    <definedName name="OI_param_adr" localSheetId="7">#REF!</definedName>
    <definedName name="OI_param_adr">'Operating Information'!#REF!</definedName>
    <definedName name="OI_param_adr_Apr" localSheetId="6">#REF!</definedName>
    <definedName name="OI_param_adr_Apr" localSheetId="10">#REF!</definedName>
    <definedName name="OI_param_adr_Apr" localSheetId="11">#REF!</definedName>
    <definedName name="OI_param_adr_Apr" localSheetId="7">#REF!</definedName>
    <definedName name="OI_param_adr_Apr">'Operating Information'!#REF!</definedName>
    <definedName name="OI_param_adr_Aug" localSheetId="6">#REF!</definedName>
    <definedName name="OI_param_adr_Aug" localSheetId="10">#REF!</definedName>
    <definedName name="OI_param_adr_Aug" localSheetId="11">#REF!</definedName>
    <definedName name="OI_param_adr_Aug" localSheetId="7">#REF!</definedName>
    <definedName name="OI_param_adr_Aug">'Operating Information'!#REF!</definedName>
    <definedName name="OI_param_adr_Dec" localSheetId="6">#REF!</definedName>
    <definedName name="OI_param_adr_Dec" localSheetId="10">#REF!</definedName>
    <definedName name="OI_param_adr_Dec" localSheetId="11">#REF!</definedName>
    <definedName name="OI_param_adr_Dec" localSheetId="7">#REF!</definedName>
    <definedName name="OI_param_adr_Dec">'Operating Information'!#REF!</definedName>
    <definedName name="OI_param_adr_Feb" localSheetId="6">#REF!</definedName>
    <definedName name="OI_param_adr_Feb" localSheetId="10">#REF!</definedName>
    <definedName name="OI_param_adr_Feb" localSheetId="11">#REF!</definedName>
    <definedName name="OI_param_adr_Feb" localSheetId="7">#REF!</definedName>
    <definedName name="OI_param_adr_Feb">'Operating Information'!#REF!</definedName>
    <definedName name="OI_param_adr_Jan" localSheetId="6">#REF!</definedName>
    <definedName name="OI_param_adr_Jan" localSheetId="10">#REF!</definedName>
    <definedName name="OI_param_adr_Jan" localSheetId="11">#REF!</definedName>
    <definedName name="OI_param_adr_Jan" localSheetId="7">#REF!</definedName>
    <definedName name="OI_param_adr_Jan">'Operating Information'!#REF!</definedName>
    <definedName name="OI_param_adr_Jul" localSheetId="6">#REF!</definedName>
    <definedName name="OI_param_adr_Jul" localSheetId="10">#REF!</definedName>
    <definedName name="OI_param_adr_Jul" localSheetId="11">#REF!</definedName>
    <definedName name="OI_param_adr_Jul" localSheetId="7">#REF!</definedName>
    <definedName name="OI_param_adr_Jul">'Operating Information'!#REF!</definedName>
    <definedName name="OI_param_adr_Jun" localSheetId="6">#REF!</definedName>
    <definedName name="OI_param_adr_Jun" localSheetId="10">#REF!</definedName>
    <definedName name="OI_param_adr_Jun" localSheetId="11">#REF!</definedName>
    <definedName name="OI_param_adr_Jun" localSheetId="7">#REF!</definedName>
    <definedName name="OI_param_adr_Jun">'Operating Information'!#REF!</definedName>
    <definedName name="OI_param_adr_Mar" localSheetId="6">#REF!</definedName>
    <definedName name="OI_param_adr_Mar" localSheetId="10">#REF!</definedName>
    <definedName name="OI_param_adr_Mar" localSheetId="11">#REF!</definedName>
    <definedName name="OI_param_adr_Mar" localSheetId="7">#REF!</definedName>
    <definedName name="OI_param_adr_Mar">'Operating Information'!#REF!</definedName>
    <definedName name="OI_param_adr_May" localSheetId="6">#REF!</definedName>
    <definedName name="OI_param_adr_May" localSheetId="10">#REF!</definedName>
    <definedName name="OI_param_adr_May" localSheetId="11">#REF!</definedName>
    <definedName name="OI_param_adr_May" localSheetId="7">#REF!</definedName>
    <definedName name="OI_param_adr_May">'Operating Information'!#REF!</definedName>
    <definedName name="OI_param_adr_Nov" localSheetId="6">#REF!</definedName>
    <definedName name="OI_param_adr_Nov" localSheetId="10">#REF!</definedName>
    <definedName name="OI_param_adr_Nov" localSheetId="11">#REF!</definedName>
    <definedName name="OI_param_adr_Nov" localSheetId="7">#REF!</definedName>
    <definedName name="OI_param_adr_Nov">'Operating Information'!#REF!</definedName>
    <definedName name="OI_param_adr_Oct" localSheetId="6">#REF!</definedName>
    <definedName name="OI_param_adr_Oct" localSheetId="10">#REF!</definedName>
    <definedName name="OI_param_adr_Oct" localSheetId="11">#REF!</definedName>
    <definedName name="OI_param_adr_Oct" localSheetId="7">#REF!</definedName>
    <definedName name="OI_param_adr_Oct">'Operating Information'!#REF!</definedName>
    <definedName name="OI_param_adr_Sep" localSheetId="6">#REF!</definedName>
    <definedName name="OI_param_adr_Sep" localSheetId="10">#REF!</definedName>
    <definedName name="OI_param_adr_Sep" localSheetId="11">#REF!</definedName>
    <definedName name="OI_param_adr_Sep" localSheetId="7">#REF!</definedName>
    <definedName name="OI_param_adr_Sep">'Operating Information'!#REF!</definedName>
    <definedName name="OI_param_adr_var" localSheetId="6">#REF!</definedName>
    <definedName name="OI_param_adr_var" localSheetId="10">#REF!</definedName>
    <definedName name="OI_param_adr_var" localSheetId="11">#REF!</definedName>
    <definedName name="OI_param_adr_var" localSheetId="7">#REF!</definedName>
    <definedName name="OI_param_adr_var">'Operating Information'!#REF!</definedName>
    <definedName name="OI_param_clmax">'Operating Information'!$C$25</definedName>
    <definedName name="OI_param_clmax_Apr">'Operating Information'!$I$25</definedName>
    <definedName name="OI_param_clmax_Aug" localSheetId="6">#REF!</definedName>
    <definedName name="OI_param_clmax_Aug" localSheetId="10">#REF!</definedName>
    <definedName name="OI_param_clmax_Aug" localSheetId="11">#REF!</definedName>
    <definedName name="OI_param_clmax_Aug" localSheetId="7">#REF!</definedName>
    <definedName name="OI_param_clmax_Aug">'Operating Information'!$M$25</definedName>
    <definedName name="OI_param_clmax_Dec" localSheetId="6">#REF!</definedName>
    <definedName name="OI_param_clmax_Dec" localSheetId="10">#REF!</definedName>
    <definedName name="OI_param_clmax_Dec" localSheetId="11">#REF!</definedName>
    <definedName name="OI_param_clmax_Dec" localSheetId="7">#REF!</definedName>
    <definedName name="OI_param_clmax_Dec">'Operating Information'!$Q$25</definedName>
    <definedName name="OI_param_clmax_Feb">'Operating Information'!$G$25</definedName>
    <definedName name="OI_param_clmax_Jan">'Operating Information'!$F$25</definedName>
    <definedName name="OI_param_clmax_Jul" localSheetId="6">#REF!</definedName>
    <definedName name="OI_param_clmax_Jul" localSheetId="10">#REF!</definedName>
    <definedName name="OI_param_clmax_Jul" localSheetId="11">#REF!</definedName>
    <definedName name="OI_param_clmax_Jul" localSheetId="7">#REF!</definedName>
    <definedName name="OI_param_clmax_Jul">'Operating Information'!$L$25</definedName>
    <definedName name="OI_param_clmax_Jun" localSheetId="6">#REF!</definedName>
    <definedName name="OI_param_clmax_Jun" localSheetId="10">#REF!</definedName>
    <definedName name="OI_param_clmax_Jun" localSheetId="11">#REF!</definedName>
    <definedName name="OI_param_clmax_Jun" localSheetId="7">#REF!</definedName>
    <definedName name="OI_param_clmax_Jun">'Operating Information'!$K$25</definedName>
    <definedName name="OI_param_clmax_Mar">'Operating Information'!$H$25</definedName>
    <definedName name="OI_param_clmax_May">'Operating Information'!$J$25</definedName>
    <definedName name="OI_param_clmax_Nov" localSheetId="6">#REF!</definedName>
    <definedName name="OI_param_clmax_Nov" localSheetId="10">#REF!</definedName>
    <definedName name="OI_param_clmax_Nov" localSheetId="11">#REF!</definedName>
    <definedName name="OI_param_clmax_Nov" localSheetId="7">#REF!</definedName>
    <definedName name="OI_param_clmax_Nov">'Operating Information'!$P$25</definedName>
    <definedName name="OI_param_clmax_Oct" localSheetId="6">#REF!</definedName>
    <definedName name="OI_param_clmax_Oct" localSheetId="10">#REF!</definedName>
    <definedName name="OI_param_clmax_Oct" localSheetId="11">#REF!</definedName>
    <definedName name="OI_param_clmax_Oct" localSheetId="7">#REF!</definedName>
    <definedName name="OI_param_clmax_Oct">'Operating Information'!$O$25</definedName>
    <definedName name="OI_param_clmax_Sep" localSheetId="6">#REF!</definedName>
    <definedName name="OI_param_clmax_Sep" localSheetId="10">#REF!</definedName>
    <definedName name="OI_param_clmax_Sep" localSheetId="11">#REF!</definedName>
    <definedName name="OI_param_clmax_Sep" localSheetId="7">#REF!</definedName>
    <definedName name="OI_param_clmax_Sep">'Operating Information'!$N$25</definedName>
    <definedName name="OI_param_clmax_var">'Operating Information'!$E$25</definedName>
    <definedName name="OI_param_clmin">'Operating Information'!$C$26</definedName>
    <definedName name="OI_param_clmin_Apr">'Operating Information'!$I$26</definedName>
    <definedName name="OI_param_clmin_Aug" localSheetId="6">#REF!</definedName>
    <definedName name="OI_param_clmin_Aug" localSheetId="10">#REF!</definedName>
    <definedName name="OI_param_clmin_Aug" localSheetId="11">#REF!</definedName>
    <definedName name="OI_param_clmin_Aug" localSheetId="7">#REF!</definedName>
    <definedName name="OI_param_clmin_Aug">'Operating Information'!$M$26</definedName>
    <definedName name="OI_param_clmin_Dec" localSheetId="6">#REF!</definedName>
    <definedName name="OI_param_clmin_Dec" localSheetId="10">#REF!</definedName>
    <definedName name="OI_param_clmin_Dec" localSheetId="11">#REF!</definedName>
    <definedName name="OI_param_clmin_Dec" localSheetId="7">#REF!</definedName>
    <definedName name="OI_param_clmin_Dec">'Operating Information'!$Q$26</definedName>
    <definedName name="OI_param_clmin_Feb">'Operating Information'!$G$26</definedName>
    <definedName name="OI_param_clmin_Jan">'Operating Information'!$F$26</definedName>
    <definedName name="OI_param_clmin_Jul" localSheetId="6">#REF!</definedName>
    <definedName name="OI_param_clmin_Jul" localSheetId="10">#REF!</definedName>
    <definedName name="OI_param_clmin_Jul" localSheetId="11">#REF!</definedName>
    <definedName name="OI_param_clmin_Jul" localSheetId="7">#REF!</definedName>
    <definedName name="OI_param_clmin_Jul">'Operating Information'!$L$26</definedName>
    <definedName name="OI_param_clmin_Jun" localSheetId="6">#REF!</definedName>
    <definedName name="OI_param_clmin_Jun" localSheetId="10">#REF!</definedName>
    <definedName name="OI_param_clmin_Jun" localSheetId="11">#REF!</definedName>
    <definedName name="OI_param_clmin_Jun" localSheetId="7">#REF!</definedName>
    <definedName name="OI_param_clmin_Jun">'Operating Information'!$K$26</definedName>
    <definedName name="OI_param_clmin_Mar">'Operating Information'!$H$26</definedName>
    <definedName name="OI_param_clmin_May">'Operating Information'!$J$26</definedName>
    <definedName name="OI_param_clmin_Nov" localSheetId="6">#REF!</definedName>
    <definedName name="OI_param_clmin_Nov" localSheetId="10">#REF!</definedName>
    <definedName name="OI_param_clmin_Nov" localSheetId="11">#REF!</definedName>
    <definedName name="OI_param_clmin_Nov" localSheetId="7">#REF!</definedName>
    <definedName name="OI_param_clmin_Nov">'Operating Information'!$P$26</definedName>
    <definedName name="OI_param_clmin_Oct" localSheetId="6">#REF!</definedName>
    <definedName name="OI_param_clmin_Oct" localSheetId="10">#REF!</definedName>
    <definedName name="OI_param_clmin_Oct" localSheetId="11">#REF!</definedName>
    <definedName name="OI_param_clmin_Oct" localSheetId="7">#REF!</definedName>
    <definedName name="OI_param_clmin_Oct">'Operating Information'!$O$26</definedName>
    <definedName name="OI_param_clmin_Sep" localSheetId="6">#REF!</definedName>
    <definedName name="OI_param_clmin_Sep" localSheetId="10">#REF!</definedName>
    <definedName name="OI_param_clmin_Sep" localSheetId="11">#REF!</definedName>
    <definedName name="OI_param_clmin_Sep" localSheetId="7">#REF!</definedName>
    <definedName name="OI_param_clmin_Sep">'Operating Information'!$N$26</definedName>
    <definedName name="OI_param_clmin_var">'Operating Information'!$E$26</definedName>
    <definedName name="OI_param_dl">'Operating Information'!$C$30</definedName>
    <definedName name="OI_param_dl_Apr">'Operating Information'!$I$30</definedName>
    <definedName name="OI_param_dl_Aug" localSheetId="6">#REF!</definedName>
    <definedName name="OI_param_dl_Aug" localSheetId="10">#REF!</definedName>
    <definedName name="OI_param_dl_Aug" localSheetId="11">#REF!</definedName>
    <definedName name="OI_param_dl_Aug" localSheetId="7">#REF!</definedName>
    <definedName name="OI_param_dl_Aug">'Operating Information'!$M$30</definedName>
    <definedName name="OI_param_dl_Dec" localSheetId="6">#REF!</definedName>
    <definedName name="OI_param_dl_Dec" localSheetId="10">#REF!</definedName>
    <definedName name="OI_param_dl_Dec" localSheetId="11">#REF!</definedName>
    <definedName name="OI_param_dl_Dec" localSheetId="7">#REF!</definedName>
    <definedName name="OI_param_dl_Dec">'Operating Information'!$Q$30</definedName>
    <definedName name="OI_param_dl_Feb">'Operating Information'!$G$30</definedName>
    <definedName name="OI_param_dl_Jan">'Operating Information'!$F$30</definedName>
    <definedName name="OI_param_dl_Jul" localSheetId="6">#REF!</definedName>
    <definedName name="OI_param_dl_Jul" localSheetId="10">#REF!</definedName>
    <definedName name="OI_param_dl_Jul" localSheetId="11">#REF!</definedName>
    <definedName name="OI_param_dl_Jul" localSheetId="7">#REF!</definedName>
    <definedName name="OI_param_dl_Jul">'Operating Information'!$L$30</definedName>
    <definedName name="OI_param_dl_Jun" localSheetId="6">#REF!</definedName>
    <definedName name="OI_param_dl_Jun" localSheetId="10">#REF!</definedName>
    <definedName name="OI_param_dl_Jun" localSheetId="11">#REF!</definedName>
    <definedName name="OI_param_dl_Jun" localSheetId="7">#REF!</definedName>
    <definedName name="OI_param_dl_Jun">'Operating Information'!$K$30</definedName>
    <definedName name="OI_param_dl_Mar">'Operating Information'!$H$30</definedName>
    <definedName name="OI_param_dl_May">'Operating Information'!$J$30</definedName>
    <definedName name="OI_param_dl_Nov" localSheetId="6">#REF!</definedName>
    <definedName name="OI_param_dl_Nov" localSheetId="10">#REF!</definedName>
    <definedName name="OI_param_dl_Nov" localSheetId="11">#REF!</definedName>
    <definedName name="OI_param_dl_Nov" localSheetId="7">#REF!</definedName>
    <definedName name="OI_param_dl_Nov">'Operating Information'!$P$30</definedName>
    <definedName name="OI_param_dl_Oct" localSheetId="6">#REF!</definedName>
    <definedName name="OI_param_dl_Oct" localSheetId="10">#REF!</definedName>
    <definedName name="OI_param_dl_Oct" localSheetId="11">#REF!</definedName>
    <definedName name="OI_param_dl_Oct" localSheetId="7">#REF!</definedName>
    <definedName name="OI_param_dl_Oct">'Operating Information'!$O$30</definedName>
    <definedName name="OI_param_dl_Sep" localSheetId="6">#REF!</definedName>
    <definedName name="OI_param_dl_Sep" localSheetId="10">#REF!</definedName>
    <definedName name="OI_param_dl_Sep" localSheetId="11">#REF!</definedName>
    <definedName name="OI_param_dl_Sep" localSheetId="7">#REF!</definedName>
    <definedName name="OI_param_dl_Sep">'Operating Information'!$N$30</definedName>
    <definedName name="OI_param_dl_var">'Operating Information'!$E$30</definedName>
    <definedName name="OI_param_dlmax">'Operating Information'!$C$21</definedName>
    <definedName name="OI_param_dlmax_Apr">'Operating Information'!$I$21</definedName>
    <definedName name="OI_param_dlmax_Aug" localSheetId="6">#REF!</definedName>
    <definedName name="OI_param_dlmax_Aug" localSheetId="10">#REF!</definedName>
    <definedName name="OI_param_dlmax_Aug" localSheetId="11">#REF!</definedName>
    <definedName name="OI_param_dlmax_Aug" localSheetId="7">#REF!</definedName>
    <definedName name="OI_param_dlmax_Aug">'Operating Information'!$M$21</definedName>
    <definedName name="OI_param_dlmax_Dec" localSheetId="6">#REF!</definedName>
    <definedName name="OI_param_dlmax_Dec" localSheetId="10">#REF!</definedName>
    <definedName name="OI_param_dlmax_Dec" localSheetId="11">#REF!</definedName>
    <definedName name="OI_param_dlmax_Dec" localSheetId="7">#REF!</definedName>
    <definedName name="OI_param_dlmax_Dec">'Operating Information'!$Q$21</definedName>
    <definedName name="OI_param_dlmax_Feb">'Operating Information'!$G$21</definedName>
    <definedName name="OI_param_dlmax_Jan">'Operating Information'!$F$21</definedName>
    <definedName name="OI_param_dlmax_Jul" localSheetId="6">#REF!</definedName>
    <definedName name="OI_param_dlmax_Jul" localSheetId="10">#REF!</definedName>
    <definedName name="OI_param_dlmax_Jul" localSheetId="11">#REF!</definedName>
    <definedName name="OI_param_dlmax_Jul" localSheetId="7">#REF!</definedName>
    <definedName name="OI_param_dlmax_Jul">'Operating Information'!$L$21</definedName>
    <definedName name="OI_param_dlmax_Jun" localSheetId="6">#REF!</definedName>
    <definedName name="OI_param_dlmax_Jun" localSheetId="10">#REF!</definedName>
    <definedName name="OI_param_dlmax_Jun" localSheetId="11">#REF!</definedName>
    <definedName name="OI_param_dlmax_Jun" localSheetId="7">#REF!</definedName>
    <definedName name="OI_param_dlmax_Jun">'Operating Information'!$K$21</definedName>
    <definedName name="OI_param_dlmax_Mar">'Operating Information'!$H$21</definedName>
    <definedName name="OI_param_dlmax_May">'Operating Information'!$J$21</definedName>
    <definedName name="OI_param_dlmax_Nov" localSheetId="6">#REF!</definedName>
    <definedName name="OI_param_dlmax_Nov" localSheetId="10">#REF!</definedName>
    <definedName name="OI_param_dlmax_Nov" localSheetId="11">#REF!</definedName>
    <definedName name="OI_param_dlmax_Nov" localSheetId="7">#REF!</definedName>
    <definedName name="OI_param_dlmax_Nov">'Operating Information'!$P$21</definedName>
    <definedName name="OI_param_dlmax_Oct" localSheetId="6">#REF!</definedName>
    <definedName name="OI_param_dlmax_Oct" localSheetId="10">#REF!</definedName>
    <definedName name="OI_param_dlmax_Oct" localSheetId="11">#REF!</definedName>
    <definedName name="OI_param_dlmax_Oct" localSheetId="7">#REF!</definedName>
    <definedName name="OI_param_dlmax_Oct">'Operating Information'!$O$21</definedName>
    <definedName name="OI_param_dlmax_Sep" localSheetId="6">#REF!</definedName>
    <definedName name="OI_param_dlmax_Sep" localSheetId="10">#REF!</definedName>
    <definedName name="OI_param_dlmax_Sep" localSheetId="11">#REF!</definedName>
    <definedName name="OI_param_dlmax_Sep" localSheetId="7">#REF!</definedName>
    <definedName name="OI_param_dlmax_Sep">'Operating Information'!$N$21</definedName>
    <definedName name="OI_param_dlmax_var">'Operating Information'!$E$21</definedName>
    <definedName name="OI_param_dlmin">'Operating Information'!$C$22</definedName>
    <definedName name="OI_param_dlmin_Apr">'Operating Information'!$J$23</definedName>
    <definedName name="OI_param_dlmin_Aug" localSheetId="6">#REF!</definedName>
    <definedName name="OI_param_dlmin_Aug" localSheetId="10">#REF!</definedName>
    <definedName name="OI_param_dlmin_Aug" localSheetId="11">#REF!</definedName>
    <definedName name="OI_param_dlmin_Aug" localSheetId="7">#REF!</definedName>
    <definedName name="OI_param_dlmin_Aug">'Operating Information'!$M$22</definedName>
    <definedName name="OI_param_dlmin_Dec" localSheetId="6">#REF!</definedName>
    <definedName name="OI_param_dlmin_Dec" localSheetId="10">#REF!</definedName>
    <definedName name="OI_param_dlmin_Dec" localSheetId="11">#REF!</definedName>
    <definedName name="OI_param_dlmin_Dec" localSheetId="7">#REF!</definedName>
    <definedName name="OI_param_dlmin_Dec">'Operating Information'!$Q$22</definedName>
    <definedName name="OI_param_dlmin_Feb">'Operating Information'!$G$22</definedName>
    <definedName name="OI_param_dlmin_Jan">'Operating Information'!$F$22</definedName>
    <definedName name="OI_param_dlmin_Jul" localSheetId="6">#REF!</definedName>
    <definedName name="OI_param_dlmin_Jul" localSheetId="10">#REF!</definedName>
    <definedName name="OI_param_dlmin_Jul" localSheetId="11">#REF!</definedName>
    <definedName name="OI_param_dlmin_Jul" localSheetId="7">#REF!</definedName>
    <definedName name="OI_param_dlmin_Jul">'Operating Information'!$L$22</definedName>
    <definedName name="OI_param_dlmin_Jun" localSheetId="6">#REF!</definedName>
    <definedName name="OI_param_dlmin_Jun" localSheetId="10">#REF!</definedName>
    <definedName name="OI_param_dlmin_Jun" localSheetId="11">#REF!</definedName>
    <definedName name="OI_param_dlmin_Jun" localSheetId="7">#REF!</definedName>
    <definedName name="OI_param_dlmin_Jun">'Operating Information'!$K$22</definedName>
    <definedName name="OI_param_dlmin_Mar">'Operating Information'!$H$22</definedName>
    <definedName name="OI_param_dlmin_May" localSheetId="6">#REF!</definedName>
    <definedName name="OI_param_dlmin_May" localSheetId="10">#REF!</definedName>
    <definedName name="OI_param_dlmin_May" localSheetId="11">#REF!</definedName>
    <definedName name="OI_param_dlmin_May" localSheetId="7">#REF!</definedName>
    <definedName name="OI_param_dlmin_May">'Operating Information'!$K$23</definedName>
    <definedName name="OI_param_dlmin_Nov" localSheetId="6">#REF!</definedName>
    <definedName name="OI_param_dlmin_Nov" localSheetId="10">#REF!</definedName>
    <definedName name="OI_param_dlmin_Nov" localSheetId="11">#REF!</definedName>
    <definedName name="OI_param_dlmin_Nov" localSheetId="7">#REF!</definedName>
    <definedName name="OI_param_dlmin_Nov">'Operating Information'!$P$22</definedName>
    <definedName name="OI_param_dlmin_Oct" localSheetId="6">#REF!</definedName>
    <definedName name="OI_param_dlmin_Oct" localSheetId="10">#REF!</definedName>
    <definedName name="OI_param_dlmin_Oct" localSheetId="11">#REF!</definedName>
    <definedName name="OI_param_dlmin_Oct" localSheetId="7">#REF!</definedName>
    <definedName name="OI_param_dlmin_Oct">'Operating Information'!$O$22</definedName>
    <definedName name="OI_param_dlmin_Sep" localSheetId="6">#REF!</definedName>
    <definedName name="OI_param_dlmin_Sep" localSheetId="10">#REF!</definedName>
    <definedName name="OI_param_dlmin_Sep" localSheetId="11">#REF!</definedName>
    <definedName name="OI_param_dlmin_Sep" localSheetId="7">#REF!</definedName>
    <definedName name="OI_param_dlmin_Sep">'Operating Information'!$N$22</definedName>
    <definedName name="OI_param_dlmin_var">'Operating Information'!$E$22</definedName>
    <definedName name="OI_param_il">'Operating Information'!$C$29</definedName>
    <definedName name="OI_param_il_Apr">'Operating Information'!$I$29</definedName>
    <definedName name="OI_param_il_Aug" localSheetId="6">#REF!</definedName>
    <definedName name="OI_param_il_Aug" localSheetId="10">#REF!</definedName>
    <definedName name="OI_param_il_Aug" localSheetId="11">#REF!</definedName>
    <definedName name="OI_param_il_Aug" localSheetId="7">#REF!</definedName>
    <definedName name="OI_param_il_Aug">'Operating Information'!$M$29</definedName>
    <definedName name="OI_param_il_Dec" localSheetId="6">#REF!</definedName>
    <definedName name="OI_param_il_Dec" localSheetId="10">#REF!</definedName>
    <definedName name="OI_param_il_Dec" localSheetId="11">#REF!</definedName>
    <definedName name="OI_param_il_Dec" localSheetId="7">#REF!</definedName>
    <definedName name="OI_param_il_Dec">'Operating Information'!$Q$29</definedName>
    <definedName name="OI_param_il_Feb">'Operating Information'!$G$29</definedName>
    <definedName name="OI_param_il_Jan">'Operating Information'!$F$29</definedName>
    <definedName name="OI_param_il_Jul" localSheetId="6">#REF!</definedName>
    <definedName name="OI_param_il_Jul" localSheetId="10">#REF!</definedName>
    <definedName name="OI_param_il_Jul" localSheetId="11">#REF!</definedName>
    <definedName name="OI_param_il_Jul" localSheetId="7">#REF!</definedName>
    <definedName name="OI_param_il_Jul">'Operating Information'!$L$29</definedName>
    <definedName name="OI_param_il_Jun" localSheetId="6">#REF!</definedName>
    <definedName name="OI_param_il_Jun" localSheetId="10">#REF!</definedName>
    <definedName name="OI_param_il_Jun" localSheetId="11">#REF!</definedName>
    <definedName name="OI_param_il_Jun" localSheetId="7">#REF!</definedName>
    <definedName name="OI_param_il_Jun">'Operating Information'!$K$29</definedName>
    <definedName name="OI_param_il_Mar">'Operating Information'!$H$29</definedName>
    <definedName name="OI_param_il_May">'Operating Information'!$J$29</definedName>
    <definedName name="OI_param_il_Nov" localSheetId="6">#REF!</definedName>
    <definedName name="OI_param_il_Nov" localSheetId="10">#REF!</definedName>
    <definedName name="OI_param_il_Nov" localSheetId="11">#REF!</definedName>
    <definedName name="OI_param_il_Nov" localSheetId="7">#REF!</definedName>
    <definedName name="OI_param_il_Nov">'Operating Information'!$P$29</definedName>
    <definedName name="OI_param_il_Oct" localSheetId="6">#REF!</definedName>
    <definedName name="OI_param_il_Oct" localSheetId="10">#REF!</definedName>
    <definedName name="OI_param_il_Oct" localSheetId="11">#REF!</definedName>
    <definedName name="OI_param_il_Oct" localSheetId="7">#REF!</definedName>
    <definedName name="OI_param_il_Oct">'Operating Information'!$O$29</definedName>
    <definedName name="OI_param_il_Sep" localSheetId="6">#REF!</definedName>
    <definedName name="OI_param_il_Sep" localSheetId="10">#REF!</definedName>
    <definedName name="OI_param_il_Sep" localSheetId="11">#REF!</definedName>
    <definedName name="OI_param_il_Sep" localSheetId="7">#REF!</definedName>
    <definedName name="OI_param_il_Sep">'Operating Information'!$N$29</definedName>
    <definedName name="OI_param_il_var">'Operating Information'!$E$29</definedName>
    <definedName name="OI_param_maxsoc">'Operating Information'!$C$18</definedName>
    <definedName name="OI_param_maxsoc_Apr">'Operating Information'!$I$18</definedName>
    <definedName name="OI_param_maxsoc_Aug" localSheetId="6">#REF!</definedName>
    <definedName name="OI_param_maxsoc_Aug" localSheetId="10">#REF!</definedName>
    <definedName name="OI_param_maxsoc_Aug" localSheetId="11">#REF!</definedName>
    <definedName name="OI_param_maxsoc_Aug" localSheetId="7">#REF!</definedName>
    <definedName name="OI_param_maxsoc_Aug">'Operating Information'!$M$18</definedName>
    <definedName name="OI_param_maxsoc_Dec" localSheetId="6">#REF!</definedName>
    <definedName name="OI_param_maxsoc_Dec" localSheetId="10">#REF!</definedName>
    <definedName name="OI_param_maxsoc_Dec" localSheetId="11">#REF!</definedName>
    <definedName name="OI_param_maxsoc_Dec" localSheetId="7">#REF!</definedName>
    <definedName name="OI_param_maxsoc_Dec">'Operating Information'!$Q$18</definedName>
    <definedName name="OI_param_maxsoc_Feb">'Operating Information'!$G$18</definedName>
    <definedName name="OI_param_maxsoc_Jan">'Operating Information'!$F$18</definedName>
    <definedName name="OI_param_maxsoc_Jul" localSheetId="6">#REF!</definedName>
    <definedName name="OI_param_maxsoc_Jul" localSheetId="10">#REF!</definedName>
    <definedName name="OI_param_maxsoc_Jul" localSheetId="11">#REF!</definedName>
    <definedName name="OI_param_maxsoc_Jul" localSheetId="7">#REF!</definedName>
    <definedName name="OI_param_maxsoc_Jul">'Operating Information'!$L$18</definedName>
    <definedName name="OI_param_maxsoc_Jun" localSheetId="6">#REF!</definedName>
    <definedName name="OI_param_maxsoc_Jun" localSheetId="10">#REF!</definedName>
    <definedName name="OI_param_maxsoc_Jun" localSheetId="11">#REF!</definedName>
    <definedName name="OI_param_maxsoc_Jun" localSheetId="7">#REF!</definedName>
    <definedName name="OI_param_maxsoc_Jun">'Operating Information'!$K$18</definedName>
    <definedName name="OI_param_maxsoc_Mar">'Operating Information'!$H$18</definedName>
    <definedName name="OI_param_maxsoc_May">'Operating Information'!$J$18</definedName>
    <definedName name="OI_param_maxsoc_Nov" localSheetId="6">#REF!</definedName>
    <definedName name="OI_param_maxsoc_Nov" localSheetId="10">#REF!</definedName>
    <definedName name="OI_param_maxsoc_Nov" localSheetId="11">#REF!</definedName>
    <definedName name="OI_param_maxsoc_Nov" localSheetId="7">#REF!</definedName>
    <definedName name="OI_param_maxsoc_Nov">'Operating Information'!$P$18</definedName>
    <definedName name="OI_param_maxsoc_Oct" localSheetId="6">#REF!</definedName>
    <definedName name="OI_param_maxsoc_Oct" localSheetId="10">#REF!</definedName>
    <definedName name="OI_param_maxsoc_Oct" localSheetId="11">#REF!</definedName>
    <definedName name="OI_param_maxsoc_Oct" localSheetId="7">#REF!</definedName>
    <definedName name="OI_param_maxsoc_Oct">'Operating Information'!$O$18</definedName>
    <definedName name="OI_param_maxsoc_Sep" localSheetId="6">#REF!</definedName>
    <definedName name="OI_param_maxsoc_Sep" localSheetId="10">#REF!</definedName>
    <definedName name="OI_param_maxsoc_Sep" localSheetId="11">#REF!</definedName>
    <definedName name="OI_param_maxsoc_Sep" localSheetId="7">#REF!</definedName>
    <definedName name="OI_param_maxsoc_Sep">'Operating Information'!$N$18</definedName>
    <definedName name="OI_param_maxsoc_var">'Operating Information'!$E$18</definedName>
    <definedName name="OI_param_mdfc">'Operating Information'!$C$27</definedName>
    <definedName name="OI_param_mdfc_Apr">'Operating Information'!$I$27</definedName>
    <definedName name="OI_param_mdfc_Aug" localSheetId="6">#REF!</definedName>
    <definedName name="OI_param_mdfc_Aug" localSheetId="10">#REF!</definedName>
    <definedName name="OI_param_mdfc_Aug" localSheetId="11">#REF!</definedName>
    <definedName name="OI_param_mdfc_Aug" localSheetId="7">#REF!</definedName>
    <definedName name="OI_param_mdfc_Aug">'Operating Information'!$M$27</definedName>
    <definedName name="OI_param_mdfc_Dec" localSheetId="6">#REF!</definedName>
    <definedName name="OI_param_mdfc_Dec" localSheetId="10">#REF!</definedName>
    <definedName name="OI_param_mdfc_Dec" localSheetId="11">#REF!</definedName>
    <definedName name="OI_param_mdfc_Dec" localSheetId="7">#REF!</definedName>
    <definedName name="OI_param_mdfc_Dec">'Operating Information'!$Q$27</definedName>
    <definedName name="OI_param_mdfc_Feb">'Operating Information'!$G$27</definedName>
    <definedName name="OI_param_mdfc_Jan">'Operating Information'!$F$27</definedName>
    <definedName name="OI_param_mdfc_Jul" localSheetId="6">#REF!</definedName>
    <definedName name="OI_param_mdfc_Jul" localSheetId="10">#REF!</definedName>
    <definedName name="OI_param_mdfc_Jul" localSheetId="11">#REF!</definedName>
    <definedName name="OI_param_mdfc_Jul" localSheetId="7">#REF!</definedName>
    <definedName name="OI_param_mdfc_Jul">'Operating Information'!$L$27</definedName>
    <definedName name="OI_param_mdfc_Jun" localSheetId="6">#REF!</definedName>
    <definedName name="OI_param_mdfc_Jun" localSheetId="10">#REF!</definedName>
    <definedName name="OI_param_mdfc_Jun" localSheetId="11">#REF!</definedName>
    <definedName name="OI_param_mdfc_Jun" localSheetId="7">#REF!</definedName>
    <definedName name="OI_param_mdfc_Jun">'Operating Information'!$K$27</definedName>
    <definedName name="OI_param_mdfc_Mar">'Operating Information'!$H$27</definedName>
    <definedName name="OI_param_mdfc_May">'Operating Information'!$J$27</definedName>
    <definedName name="OI_param_mdfc_Nov" localSheetId="6">#REF!</definedName>
    <definedName name="OI_param_mdfc_Nov" localSheetId="10">#REF!</definedName>
    <definedName name="OI_param_mdfc_Nov" localSheetId="11">#REF!</definedName>
    <definedName name="OI_param_mdfc_Nov" localSheetId="7">#REF!</definedName>
    <definedName name="OI_param_mdfc_Nov">'Operating Information'!$P$27</definedName>
    <definedName name="OI_param_mdfc_Oct" localSheetId="6">#REF!</definedName>
    <definedName name="OI_param_mdfc_Oct" localSheetId="10">#REF!</definedName>
    <definedName name="OI_param_mdfc_Oct" localSheetId="11">#REF!</definedName>
    <definedName name="OI_param_mdfc_Oct" localSheetId="7">#REF!</definedName>
    <definedName name="OI_param_mdfc_Oct">'Operating Information'!$O$27</definedName>
    <definedName name="OI_param_mdfc_Sep" localSheetId="6">#REF!</definedName>
    <definedName name="OI_param_mdfc_Sep" localSheetId="10">#REF!</definedName>
    <definedName name="OI_param_mdfc_Sep" localSheetId="11">#REF!</definedName>
    <definedName name="OI_param_mdfc_Sep" localSheetId="7">#REF!</definedName>
    <definedName name="OI_param_mdfc_Sep">'Operating Information'!$N$27</definedName>
    <definedName name="OI_param_mdfc_var">'Operating Information'!$E$27</definedName>
    <definedName name="OI_param_mdfd">'Operating Information'!$C$23</definedName>
    <definedName name="OI_param_mdfd_Apr">'Operating Information'!$I$23</definedName>
    <definedName name="OI_param_mdfd_Aug" localSheetId="6">#REF!</definedName>
    <definedName name="OI_param_mdfd_Aug" localSheetId="10">#REF!</definedName>
    <definedName name="OI_param_mdfd_Aug" localSheetId="11">#REF!</definedName>
    <definedName name="OI_param_mdfd_Aug" localSheetId="7">#REF!</definedName>
    <definedName name="OI_param_mdfd_Aug">'Operating Information'!$M$23</definedName>
    <definedName name="OI_param_mdfd_Dec" localSheetId="6">#REF!</definedName>
    <definedName name="OI_param_mdfd_Dec" localSheetId="10">#REF!</definedName>
    <definedName name="OI_param_mdfd_Dec" localSheetId="11">#REF!</definedName>
    <definedName name="OI_param_mdfd_Dec" localSheetId="7">#REF!</definedName>
    <definedName name="OI_param_mdfd_Dec">'Operating Information'!$Q$23</definedName>
    <definedName name="OI_param_mdfd_Feb">'Operating Information'!$G$23</definedName>
    <definedName name="OI_param_mdfd_Jan">'Operating Information'!$F$23</definedName>
    <definedName name="OI_param_mdfd_Jul" localSheetId="6">#REF!</definedName>
    <definedName name="OI_param_mdfd_Jul" localSheetId="10">#REF!</definedName>
    <definedName name="OI_param_mdfd_Jul" localSheetId="11">#REF!</definedName>
    <definedName name="OI_param_mdfd_Jul" localSheetId="7">#REF!</definedName>
    <definedName name="OI_param_mdfd_Jul">'Operating Information'!$L$23</definedName>
    <definedName name="OI_param_mdfd_Jun" localSheetId="6">#REF!</definedName>
    <definedName name="OI_param_mdfd_Jun" localSheetId="10">#REF!</definedName>
    <definedName name="OI_param_mdfd_Jun" localSheetId="11">#REF!</definedName>
    <definedName name="OI_param_mdfd_Jun" localSheetId="7">#REF!</definedName>
    <definedName name="OI_param_mdfd_Jun">'Operating Information'!#REF!</definedName>
    <definedName name="OI_param_mdfd_Mar">'Operating Information'!$H$23</definedName>
    <definedName name="OI_param_mdfd_May" localSheetId="6">#REF!</definedName>
    <definedName name="OI_param_mdfd_May" localSheetId="10">#REF!</definedName>
    <definedName name="OI_param_mdfd_May" localSheetId="11">#REF!</definedName>
    <definedName name="OI_param_mdfd_May" localSheetId="7">#REF!</definedName>
    <definedName name="OI_param_mdfd_May">'Operating Information'!#REF!</definedName>
    <definedName name="OI_param_mdfd_Nov" localSheetId="6">#REF!</definedName>
    <definedName name="OI_param_mdfd_Nov" localSheetId="10">#REF!</definedName>
    <definedName name="OI_param_mdfd_Nov" localSheetId="11">#REF!</definedName>
    <definedName name="OI_param_mdfd_Nov" localSheetId="7">#REF!</definedName>
    <definedName name="OI_param_mdfd_Nov">'Operating Information'!$P$23</definedName>
    <definedName name="OI_param_mdfd_Oct" localSheetId="6">#REF!</definedName>
    <definedName name="OI_param_mdfd_Oct" localSheetId="10">#REF!</definedName>
    <definedName name="OI_param_mdfd_Oct" localSheetId="11">#REF!</definedName>
    <definedName name="OI_param_mdfd_Oct" localSheetId="7">#REF!</definedName>
    <definedName name="OI_param_mdfd_Oct">'Operating Information'!$O$23</definedName>
    <definedName name="OI_param_mdfd_Sep" localSheetId="6">#REF!</definedName>
    <definedName name="OI_param_mdfd_Sep" localSheetId="10">#REF!</definedName>
    <definedName name="OI_param_mdfd_Sep" localSheetId="11">#REF!</definedName>
    <definedName name="OI_param_mdfd_Sep" localSheetId="7">#REF!</definedName>
    <definedName name="OI_param_mdfd_Sep">'Operating Information'!$N$23</definedName>
    <definedName name="OI_param_mdfd_var">'Operating Information'!$E$23</definedName>
    <definedName name="OI_param_minsoc">'Operating Information'!$C$19</definedName>
    <definedName name="OI_param_minsoc_Apr">'Operating Information'!$I$19</definedName>
    <definedName name="OI_param_minsoc_Aug" localSheetId="6">#REF!</definedName>
    <definedName name="OI_param_minsoc_Aug" localSheetId="10">#REF!</definedName>
    <definedName name="OI_param_minsoc_Aug" localSheetId="11">#REF!</definedName>
    <definedName name="OI_param_minsoc_Aug" localSheetId="7">#REF!</definedName>
    <definedName name="OI_param_minsoc_Aug">'Operating Information'!$M$19</definedName>
    <definedName name="OI_param_minsoc_Dec" localSheetId="6">#REF!</definedName>
    <definedName name="OI_param_minsoc_Dec" localSheetId="10">#REF!</definedName>
    <definedName name="OI_param_minsoc_Dec" localSheetId="11">#REF!</definedName>
    <definedName name="OI_param_minsoc_Dec" localSheetId="7">#REF!</definedName>
    <definedName name="OI_param_minsoc_Dec">'Operating Information'!$Q$19</definedName>
    <definedName name="OI_param_minsoc_Feb">'Operating Information'!$G$19</definedName>
    <definedName name="OI_param_minsoc_Jan">'Operating Information'!$F$19</definedName>
    <definedName name="OI_param_minsoc_Jul" localSheetId="6">#REF!</definedName>
    <definedName name="OI_param_minsoc_Jul" localSheetId="10">#REF!</definedName>
    <definedName name="OI_param_minsoc_Jul" localSheetId="11">#REF!</definedName>
    <definedName name="OI_param_minsoc_Jul" localSheetId="7">#REF!</definedName>
    <definedName name="OI_param_minsoc_Jul">'Operating Information'!$L$19</definedName>
    <definedName name="OI_param_minsoc_Jun" localSheetId="6">#REF!</definedName>
    <definedName name="OI_param_minsoc_Jun" localSheetId="10">#REF!</definedName>
    <definedName name="OI_param_minsoc_Jun" localSheetId="11">#REF!</definedName>
    <definedName name="OI_param_minsoc_Jun" localSheetId="7">#REF!</definedName>
    <definedName name="OI_param_minsoc_Jun">'Operating Information'!$K$19</definedName>
    <definedName name="OI_param_minsoc_Mar">'Operating Information'!$H$19</definedName>
    <definedName name="OI_param_minsoc_May">'Operating Information'!$J$19</definedName>
    <definedName name="OI_param_minsoc_Nov" localSheetId="6">#REF!</definedName>
    <definedName name="OI_param_minsoc_Nov" localSheetId="10">#REF!</definedName>
    <definedName name="OI_param_minsoc_Nov" localSheetId="11">#REF!</definedName>
    <definedName name="OI_param_minsoc_Nov" localSheetId="7">#REF!</definedName>
    <definedName name="OI_param_minsoc_Nov">'Operating Information'!$P$19</definedName>
    <definedName name="OI_param_minsoc_Oct" localSheetId="6">#REF!</definedName>
    <definedName name="OI_param_minsoc_Oct" localSheetId="10">#REF!</definedName>
    <definedName name="OI_param_minsoc_Oct" localSheetId="11">#REF!</definedName>
    <definedName name="OI_param_minsoc_Oct" localSheetId="7">#REF!</definedName>
    <definedName name="OI_param_minsoc_Oct">'Operating Information'!$O$19</definedName>
    <definedName name="OI_param_minsoc_Sep" localSheetId="6">#REF!</definedName>
    <definedName name="OI_param_minsoc_Sep" localSheetId="10">#REF!</definedName>
    <definedName name="OI_param_minsoc_Sep" localSheetId="11">#REF!</definedName>
    <definedName name="OI_param_minsoc_Sep" localSheetId="7">#REF!</definedName>
    <definedName name="OI_param_minsoc_Sep">'Operating Information'!$N$19</definedName>
    <definedName name="OI_param_minsoc_var">'Operating Information'!$E$19</definedName>
    <definedName name="OI_param_srte">'Operating Information'!$C$33</definedName>
    <definedName name="OI_param_ssd">'Operating Information'!$C$34</definedName>
    <definedName name="OI_param_ssd_Apr">'Operating Information'!$I$34</definedName>
    <definedName name="OI_param_ssd_Aug" localSheetId="6">#REF!</definedName>
    <definedName name="OI_param_ssd_Aug" localSheetId="10">#REF!</definedName>
    <definedName name="OI_param_ssd_Aug" localSheetId="11">#REF!</definedName>
    <definedName name="OI_param_ssd_Aug" localSheetId="7">#REF!</definedName>
    <definedName name="OI_param_ssd_Aug">'Operating Information'!$M$34</definedName>
    <definedName name="OI_param_ssd_Dec" localSheetId="6">#REF!</definedName>
    <definedName name="OI_param_ssd_Dec" localSheetId="10">#REF!</definedName>
    <definedName name="OI_param_ssd_Dec" localSheetId="11">#REF!</definedName>
    <definedName name="OI_param_ssd_Dec" localSheetId="7">#REF!</definedName>
    <definedName name="OI_param_ssd_Dec">'Operating Information'!$Q$34</definedName>
    <definedName name="OI_param_ssd_Feb">'Operating Information'!$G$34</definedName>
    <definedName name="OI_param_ssd_Jan">'Operating Information'!$F$34</definedName>
    <definedName name="OI_param_ssd_Jul" localSheetId="6">#REF!</definedName>
    <definedName name="OI_param_ssd_Jul" localSheetId="10">#REF!</definedName>
    <definedName name="OI_param_ssd_Jul" localSheetId="11">#REF!</definedName>
    <definedName name="OI_param_ssd_Jul" localSheetId="7">#REF!</definedName>
    <definedName name="OI_param_ssd_Jul">'Operating Information'!$L$34</definedName>
    <definedName name="OI_param_ssd_Jun" localSheetId="6">#REF!</definedName>
    <definedName name="OI_param_ssd_Jun" localSheetId="10">#REF!</definedName>
    <definedName name="OI_param_ssd_Jun" localSheetId="11">#REF!</definedName>
    <definedName name="OI_param_ssd_Jun" localSheetId="7">#REF!</definedName>
    <definedName name="OI_param_ssd_Jun">'Operating Information'!$K$34</definedName>
    <definedName name="OI_param_ssd_Mar">'Operating Information'!$H$34</definedName>
    <definedName name="OI_param_ssd_May">'Operating Information'!$J$34</definedName>
    <definedName name="OI_param_ssd_Nov" localSheetId="6">#REF!</definedName>
    <definedName name="OI_param_ssd_Nov" localSheetId="10">#REF!</definedName>
    <definedName name="OI_param_ssd_Nov" localSheetId="11">#REF!</definedName>
    <definedName name="OI_param_ssd_Nov" localSheetId="7">#REF!</definedName>
    <definedName name="OI_param_ssd_Nov">'Operating Information'!$P$34</definedName>
    <definedName name="OI_param_ssd_Oct" localSheetId="6">#REF!</definedName>
    <definedName name="OI_param_ssd_Oct" localSheetId="10">#REF!</definedName>
    <definedName name="OI_param_ssd_Oct" localSheetId="11">#REF!</definedName>
    <definedName name="OI_param_ssd_Oct" localSheetId="7">#REF!</definedName>
    <definedName name="OI_param_ssd_Oct">'Operating Information'!$O$34</definedName>
    <definedName name="OI_param_ssd_Sep" localSheetId="6">#REF!</definedName>
    <definedName name="OI_param_ssd_Sep" localSheetId="10">#REF!</definedName>
    <definedName name="OI_param_ssd_Sep" localSheetId="11">#REF!</definedName>
    <definedName name="OI_param_ssd_Sep" localSheetId="7">#REF!</definedName>
    <definedName name="OI_param_ssd_Sep">'Operating Information'!$N$34</definedName>
    <definedName name="OI_param_ssd_var">'Operating Information'!$E$34</definedName>
    <definedName name="OI_param_tec">'Operating Information'!$C$16</definedName>
    <definedName name="OI_param_tec_Apr">'Operating Information'!$I$16</definedName>
    <definedName name="OI_param_tec_Aug" localSheetId="6">#REF!</definedName>
    <definedName name="OI_param_tec_Aug" localSheetId="10">#REF!</definedName>
    <definedName name="OI_param_tec_Aug" localSheetId="11">#REF!</definedName>
    <definedName name="OI_param_tec_Aug" localSheetId="7">#REF!</definedName>
    <definedName name="OI_param_tec_Aug">'Operating Information'!$M$16</definedName>
    <definedName name="OI_param_tec_Dec" localSheetId="6">#REF!</definedName>
    <definedName name="OI_param_tec_Dec" localSheetId="10">#REF!</definedName>
    <definedName name="OI_param_tec_Dec" localSheetId="11">#REF!</definedName>
    <definedName name="OI_param_tec_Dec" localSheetId="7">#REF!</definedName>
    <definedName name="OI_param_tec_Dec">'Operating Information'!$Q$16</definedName>
    <definedName name="OI_param_tec_Feb">'Operating Information'!$G$16</definedName>
    <definedName name="OI_param_tec_Jan">'Operating Information'!$F$16</definedName>
    <definedName name="OI_param_tec_Jul" localSheetId="6">#REF!</definedName>
    <definedName name="OI_param_tec_Jul" localSheetId="10">#REF!</definedName>
    <definedName name="OI_param_tec_Jul" localSheetId="11">#REF!</definedName>
    <definedName name="OI_param_tec_Jul" localSheetId="7">#REF!</definedName>
    <definedName name="OI_param_tec_Jul">'Operating Information'!$L$16</definedName>
    <definedName name="OI_param_tec_Jun" localSheetId="6">#REF!</definedName>
    <definedName name="OI_param_tec_Jun" localSheetId="10">#REF!</definedName>
    <definedName name="OI_param_tec_Jun" localSheetId="11">#REF!</definedName>
    <definedName name="OI_param_tec_Jun" localSheetId="7">#REF!</definedName>
    <definedName name="OI_param_tec_Jun">'Operating Information'!$K$16</definedName>
    <definedName name="OI_param_tec_Mar">'Operating Information'!$H$16</definedName>
    <definedName name="OI_param_tec_May">'Operating Information'!$J$16</definedName>
    <definedName name="OI_param_tec_Nov" localSheetId="6">#REF!</definedName>
    <definedName name="OI_param_tec_Nov" localSheetId="10">#REF!</definedName>
    <definedName name="OI_param_tec_Nov" localSheetId="11">#REF!</definedName>
    <definedName name="OI_param_tec_Nov" localSheetId="7">#REF!</definedName>
    <definedName name="OI_param_tec_Nov">'Operating Information'!$P$16</definedName>
    <definedName name="OI_param_tec_Oct" localSheetId="6">#REF!</definedName>
    <definedName name="OI_param_tec_Oct" localSheetId="10">#REF!</definedName>
    <definedName name="OI_param_tec_Oct" localSheetId="11">#REF!</definedName>
    <definedName name="OI_param_tec_Oct" localSheetId="7">#REF!</definedName>
    <definedName name="OI_param_tec_Oct">'Operating Information'!$O$16</definedName>
    <definedName name="OI_param_tec_Sep" localSheetId="6">#REF!</definedName>
    <definedName name="OI_param_tec_Sep" localSheetId="10">#REF!</definedName>
    <definedName name="OI_param_tec_Sep" localSheetId="11">#REF!</definedName>
    <definedName name="OI_param_tec_Sep" localSheetId="7">#REF!</definedName>
    <definedName name="OI_param_tec_Sep">'Operating Information'!$N$16</definedName>
    <definedName name="OI_param_tec_var">'Operating Information'!$E$16</definedName>
    <definedName name="OI_param_tpc">'Operating Information'!$C$15</definedName>
    <definedName name="OI_param_tpc_Apr">'Operating Information'!$I$15</definedName>
    <definedName name="OI_param_tpc_Aug" localSheetId="6">#REF!</definedName>
    <definedName name="OI_param_tpc_Aug" localSheetId="10">#REF!</definedName>
    <definedName name="OI_param_tpc_Aug" localSheetId="11">#REF!</definedName>
    <definedName name="OI_param_tpc_Aug" localSheetId="7">#REF!</definedName>
    <definedName name="OI_param_tpc_Aug">'Operating Information'!$M$15</definedName>
    <definedName name="OI_param_tpc_Dec" localSheetId="6">#REF!</definedName>
    <definedName name="OI_param_tpc_Dec" localSheetId="10">#REF!</definedName>
    <definedName name="OI_param_tpc_Dec" localSheetId="11">#REF!</definedName>
    <definedName name="OI_param_tpc_Dec" localSheetId="7">#REF!</definedName>
    <definedName name="OI_param_tpc_Dec">'Operating Information'!$Q$15</definedName>
    <definedName name="OI_param_tpc_Feb">'Operating Information'!$G$15</definedName>
    <definedName name="OI_param_tpc_Jan">'Operating Information'!$F$15</definedName>
    <definedName name="OI_param_tpc_Jul" localSheetId="6">#REF!</definedName>
    <definedName name="OI_param_tpc_Jul" localSheetId="10">#REF!</definedName>
    <definedName name="OI_param_tpc_Jul" localSheetId="11">#REF!</definedName>
    <definedName name="OI_param_tpc_Jul" localSheetId="7">#REF!</definedName>
    <definedName name="OI_param_tpc_Jul">'Operating Information'!$L$15</definedName>
    <definedName name="OI_param_tpc_Jun" localSheetId="6">#REF!</definedName>
    <definedName name="OI_param_tpc_Jun" localSheetId="10">#REF!</definedName>
    <definedName name="OI_param_tpc_Jun" localSheetId="11">#REF!</definedName>
    <definedName name="OI_param_tpc_Jun" localSheetId="7">#REF!</definedName>
    <definedName name="OI_param_tpc_Jun">'Operating Information'!$K$15</definedName>
    <definedName name="OI_param_tpc_Mar">'Operating Information'!$H$15</definedName>
    <definedName name="OI_param_tpc_May">'Operating Information'!$J$15</definedName>
    <definedName name="OI_param_tpc_Nov" localSheetId="6">#REF!</definedName>
    <definedName name="OI_param_tpc_Nov" localSheetId="10">#REF!</definedName>
    <definedName name="OI_param_tpc_Nov" localSheetId="11">#REF!</definedName>
    <definedName name="OI_param_tpc_Nov" localSheetId="7">#REF!</definedName>
    <definedName name="OI_param_tpc_Nov">'Operating Information'!$P$15</definedName>
    <definedName name="OI_param_tpc_Oct" localSheetId="6">#REF!</definedName>
    <definedName name="OI_param_tpc_Oct" localSheetId="10">#REF!</definedName>
    <definedName name="OI_param_tpc_Oct" localSheetId="11">#REF!</definedName>
    <definedName name="OI_param_tpc_Oct" localSheetId="7">#REF!</definedName>
    <definedName name="OI_param_tpc_Oct">'Operating Information'!$O$15</definedName>
    <definedName name="OI_param_tpc_Sep" localSheetId="6">#REF!</definedName>
    <definedName name="OI_param_tpc_Sep" localSheetId="10">#REF!</definedName>
    <definedName name="OI_param_tpc_Sep" localSheetId="11">#REF!</definedName>
    <definedName name="OI_param_tpc_Sep" localSheetId="7">#REF!</definedName>
    <definedName name="OI_param_tpc_Sep">'Operating Information'!$N$15</definedName>
    <definedName name="OI_param_tpc_var">'Operating Information'!$E$15</definedName>
    <definedName name="OI_param_tuc">'Operating Information'!$C$17</definedName>
    <definedName name="OI_param_tuc_Apr">'Operating Information'!$I$17</definedName>
    <definedName name="OI_param_tuc_Aug" localSheetId="6">#REF!</definedName>
    <definedName name="OI_param_tuc_Aug" localSheetId="10">#REF!</definedName>
    <definedName name="OI_param_tuc_Aug" localSheetId="11">#REF!</definedName>
    <definedName name="OI_param_tuc_Aug" localSheetId="7">#REF!</definedName>
    <definedName name="OI_param_tuc_Aug">'Operating Information'!$M$17</definedName>
    <definedName name="OI_param_tuc_Dec" localSheetId="6">#REF!</definedName>
    <definedName name="OI_param_tuc_Dec" localSheetId="10">#REF!</definedName>
    <definedName name="OI_param_tuc_Dec" localSheetId="11">#REF!</definedName>
    <definedName name="OI_param_tuc_Dec" localSheetId="7">#REF!</definedName>
    <definedName name="OI_param_tuc_Dec">'Operating Information'!$Q$17</definedName>
    <definedName name="OI_param_tuc_Feb">'Operating Information'!$G$17</definedName>
    <definedName name="OI_param_tuc_Jan">'Operating Information'!$F$17</definedName>
    <definedName name="OI_param_tuc_Jul" localSheetId="6">#REF!</definedName>
    <definedName name="OI_param_tuc_Jul" localSheetId="10">#REF!</definedName>
    <definedName name="OI_param_tuc_Jul" localSheetId="11">#REF!</definedName>
    <definedName name="OI_param_tuc_Jul" localSheetId="7">#REF!</definedName>
    <definedName name="OI_param_tuc_Jul">'Operating Information'!$L$17</definedName>
    <definedName name="OI_param_tuc_Jun" localSheetId="6">#REF!</definedName>
    <definedName name="OI_param_tuc_Jun" localSheetId="10">#REF!</definedName>
    <definedName name="OI_param_tuc_Jun" localSheetId="11">#REF!</definedName>
    <definedName name="OI_param_tuc_Jun" localSheetId="7">#REF!</definedName>
    <definedName name="OI_param_tuc_Jun">'Operating Information'!$K$17</definedName>
    <definedName name="OI_param_tuc_Mar">'Operating Information'!$H$17</definedName>
    <definedName name="OI_param_tuc_May">'Operating Information'!$J$17</definedName>
    <definedName name="OI_param_tuc_Nov" localSheetId="6">#REF!</definedName>
    <definedName name="OI_param_tuc_Nov" localSheetId="10">#REF!</definedName>
    <definedName name="OI_param_tuc_Nov" localSheetId="11">#REF!</definedName>
    <definedName name="OI_param_tuc_Nov" localSheetId="7">#REF!</definedName>
    <definedName name="OI_param_tuc_Nov">'Operating Information'!$P$17</definedName>
    <definedName name="OI_param_tuc_Oct" localSheetId="6">#REF!</definedName>
    <definedName name="OI_param_tuc_Oct" localSheetId="10">#REF!</definedName>
    <definedName name="OI_param_tuc_Oct" localSheetId="11">#REF!</definedName>
    <definedName name="OI_param_tuc_Oct" localSheetId="7">#REF!</definedName>
    <definedName name="OI_param_tuc_Oct">'Operating Information'!$O$17</definedName>
    <definedName name="OI_param_tuc_Sep" localSheetId="6">#REF!</definedName>
    <definedName name="OI_param_tuc_Sep" localSheetId="10">#REF!</definedName>
    <definedName name="OI_param_tuc_Sep" localSheetId="11">#REF!</definedName>
    <definedName name="OI_param_tuc_Sep" localSheetId="7">#REF!</definedName>
    <definedName name="OI_param_tuc_Sep">'Operating Information'!$N$17</definedName>
    <definedName name="OI_param_tuc_var">'Operating Information'!$E$17</definedName>
    <definedName name="OI_param_tue" localSheetId="6">#REF!</definedName>
    <definedName name="OI_param_tue" localSheetId="10">#REF!</definedName>
    <definedName name="OI_param_tue" localSheetId="11">#REF!</definedName>
    <definedName name="OI_param_tue" localSheetId="7">#REF!</definedName>
    <definedName name="OI_param_tue">'Operating Information'!#REF!</definedName>
    <definedName name="OI_param_tue_var" localSheetId="6">#REF!</definedName>
    <definedName name="OI_param_tue_var" localSheetId="10">#REF!</definedName>
    <definedName name="OI_param_tue_var" localSheetId="11">#REF!</definedName>
    <definedName name="OI_param_tue_var" localSheetId="7">#REF!</definedName>
    <definedName name="OI_param_tue_var">'Operating Information'!#REF!</definedName>
    <definedName name="OI_param_tue_var_Apr" localSheetId="6">#REF!</definedName>
    <definedName name="OI_param_tue_var_Apr" localSheetId="10">#REF!</definedName>
    <definedName name="OI_param_tue_var_Apr" localSheetId="11">#REF!</definedName>
    <definedName name="OI_param_tue_var_Apr" localSheetId="7">#REF!</definedName>
    <definedName name="OI_param_tue_var_Apr">'Operating Information'!#REF!</definedName>
    <definedName name="OI_param_tue_var_Aug" localSheetId="6">#REF!</definedName>
    <definedName name="OI_param_tue_var_Aug" localSheetId="10">#REF!</definedName>
    <definedName name="OI_param_tue_var_Aug" localSheetId="11">#REF!</definedName>
    <definedName name="OI_param_tue_var_Aug" localSheetId="7">#REF!</definedName>
    <definedName name="OI_param_tue_var_Aug">'Operating Information'!#REF!</definedName>
    <definedName name="OI_param_tue_var_Dec" localSheetId="6">#REF!</definedName>
    <definedName name="OI_param_tue_var_Dec" localSheetId="10">#REF!</definedName>
    <definedName name="OI_param_tue_var_Dec" localSheetId="11">#REF!</definedName>
    <definedName name="OI_param_tue_var_Dec" localSheetId="7">#REF!</definedName>
    <definedName name="OI_param_tue_var_Dec">'Operating Information'!#REF!</definedName>
    <definedName name="OI_param_tue_var_Feb" localSheetId="6">#REF!</definedName>
    <definedName name="OI_param_tue_var_Feb" localSheetId="10">#REF!</definedName>
    <definedName name="OI_param_tue_var_Feb" localSheetId="11">#REF!</definedName>
    <definedName name="OI_param_tue_var_Feb" localSheetId="7">#REF!</definedName>
    <definedName name="OI_param_tue_var_Feb">'Operating Information'!#REF!</definedName>
    <definedName name="OI_param_tue_var_Jan" localSheetId="6">#REF!</definedName>
    <definedName name="OI_param_tue_var_Jan" localSheetId="10">#REF!</definedName>
    <definedName name="OI_param_tue_var_Jan" localSheetId="11">#REF!</definedName>
    <definedName name="OI_param_tue_var_Jan" localSheetId="7">#REF!</definedName>
    <definedName name="OI_param_tue_var_Jan">'Operating Information'!#REF!</definedName>
    <definedName name="OI_param_tue_var_Jul" localSheetId="6">#REF!</definedName>
    <definedName name="OI_param_tue_var_Jul" localSheetId="10">#REF!</definedName>
    <definedName name="OI_param_tue_var_Jul" localSheetId="11">#REF!</definedName>
    <definedName name="OI_param_tue_var_Jul" localSheetId="7">#REF!</definedName>
    <definedName name="OI_param_tue_var_Jul">'Operating Information'!#REF!</definedName>
    <definedName name="OI_param_tue_var_Jun" localSheetId="6">#REF!</definedName>
    <definedName name="OI_param_tue_var_Jun" localSheetId="10">#REF!</definedName>
    <definedName name="OI_param_tue_var_Jun" localSheetId="11">#REF!</definedName>
    <definedName name="OI_param_tue_var_Jun" localSheetId="7">#REF!</definedName>
    <definedName name="OI_param_tue_var_Jun">'Operating Information'!#REF!</definedName>
    <definedName name="OI_param_tue_var_Mar" localSheetId="6">#REF!</definedName>
    <definedName name="OI_param_tue_var_Mar" localSheetId="10">#REF!</definedName>
    <definedName name="OI_param_tue_var_Mar" localSheetId="11">#REF!</definedName>
    <definedName name="OI_param_tue_var_Mar" localSheetId="7">#REF!</definedName>
    <definedName name="OI_param_tue_var_Mar">'Operating Information'!#REF!</definedName>
    <definedName name="OI_param_tue_var_May" localSheetId="6">#REF!</definedName>
    <definedName name="OI_param_tue_var_May" localSheetId="10">#REF!</definedName>
    <definedName name="OI_param_tue_var_May" localSheetId="11">#REF!</definedName>
    <definedName name="OI_param_tue_var_May" localSheetId="7">#REF!</definedName>
    <definedName name="OI_param_tue_var_May">'Operating Information'!#REF!</definedName>
    <definedName name="OI_param_tue_var_Nov" localSheetId="6">#REF!</definedName>
    <definedName name="OI_param_tue_var_Nov" localSheetId="10">#REF!</definedName>
    <definedName name="OI_param_tue_var_Nov" localSheetId="11">#REF!</definedName>
    <definedName name="OI_param_tue_var_Nov" localSheetId="7">#REF!</definedName>
    <definedName name="OI_param_tue_var_Nov">'Operating Information'!#REF!</definedName>
    <definedName name="OI_param_tue_var_Oct" localSheetId="6">#REF!</definedName>
    <definedName name="OI_param_tue_var_Oct" localSheetId="10">#REF!</definedName>
    <definedName name="OI_param_tue_var_Oct" localSheetId="11">#REF!</definedName>
    <definedName name="OI_param_tue_var_Oct" localSheetId="7">#REF!</definedName>
    <definedName name="OI_param_tue_var_Oct">'Operating Information'!#REF!</definedName>
    <definedName name="OI_param_tue_var_Sep" localSheetId="6">#REF!</definedName>
    <definedName name="OI_param_tue_var_Sep" localSheetId="10">#REF!</definedName>
    <definedName name="OI_param_tue_var_Sep" localSheetId="11">#REF!</definedName>
    <definedName name="OI_param_tue_var_Sep" localSheetId="7">#REF!</definedName>
    <definedName name="OI_param_tue_var_Sep">'Operating Information'!#REF!</definedName>
    <definedName name="OI_rr_ctc">'Operating Information'!$C$51</definedName>
    <definedName name="OI_rr_ctcrate">'Operating Information'!$C$52</definedName>
    <definedName name="OI_rr_dtd">'Operating Information'!$C$50</definedName>
    <definedName name="OI_rr_dtdrate">'Operating Information'!$C$49</definedName>
    <definedName name="OI_rr_rrrhighavg">'Operating Information'!$G$53</definedName>
    <definedName name="OI_rr_rrrhighlimit">'Operating Information'!$I$53</definedName>
    <definedName name="OI_rr_rrrhighmax">'Operating Information'!$E$53</definedName>
    <definedName name="OI_rr_rrrhighmin">'Operating Information'!$C$53</definedName>
    <definedName name="OI_rr_rrrlowavg">'Operating Information'!$G$54</definedName>
    <definedName name="OI_rr_rrrlowlimit">'Operating Information'!$I$54</definedName>
    <definedName name="OI_rr_rrrlowmax">'Operating Information'!$E$54</definedName>
    <definedName name="OI_rr_rrrlowmin">'Operating Information'!$C$54</definedName>
    <definedName name="Part_own_1" localSheetId="6">#REF!</definedName>
    <definedName name="Part_own_1" localSheetId="10">#REF!</definedName>
    <definedName name="Part_own_1" localSheetId="11">#REF!</definedName>
    <definedName name="Part_own_1" localSheetId="7">#REF!</definedName>
    <definedName name="Part_own_1">'Bidder Information'!$C$48</definedName>
    <definedName name="Part_own_10" localSheetId="6">#REF!</definedName>
    <definedName name="Part_own_10" localSheetId="10">#REF!</definedName>
    <definedName name="Part_own_10" localSheetId="11">#REF!</definedName>
    <definedName name="Part_own_10" localSheetId="7">#REF!</definedName>
    <definedName name="Part_own_10">'Bidder Information'!$C$51</definedName>
    <definedName name="Part_own_11" localSheetId="6">#REF!</definedName>
    <definedName name="Part_own_11" localSheetId="10">#REF!</definedName>
    <definedName name="Part_own_11" localSheetId="11">#REF!</definedName>
    <definedName name="Part_own_11" localSheetId="7">#REF!</definedName>
    <definedName name="Part_own_11">'Bidder Information'!$D$51</definedName>
    <definedName name="Part_own_12" localSheetId="6">#REF!</definedName>
    <definedName name="Part_own_12" localSheetId="10">#REF!</definedName>
    <definedName name="Part_own_12" localSheetId="11">#REF!</definedName>
    <definedName name="Part_own_12" localSheetId="7">#REF!</definedName>
    <definedName name="Part_own_12">'Bidder Information'!$E$51</definedName>
    <definedName name="Part_own_13" localSheetId="6">#REF!</definedName>
    <definedName name="Part_own_13" localSheetId="10">#REF!</definedName>
    <definedName name="Part_own_13" localSheetId="11">#REF!</definedName>
    <definedName name="Part_own_13" localSheetId="7">#REF!</definedName>
    <definedName name="Part_own_13">'Bidder Information'!$C$52</definedName>
    <definedName name="Part_own_14" localSheetId="6">#REF!</definedName>
    <definedName name="Part_own_14" localSheetId="10">#REF!</definedName>
    <definedName name="Part_own_14" localSheetId="11">#REF!</definedName>
    <definedName name="Part_own_14" localSheetId="7">#REF!</definedName>
    <definedName name="Part_own_14">'Bidder Information'!$D$52</definedName>
    <definedName name="Part_own_15" localSheetId="6">#REF!</definedName>
    <definedName name="Part_own_15" localSheetId="10">#REF!</definedName>
    <definedName name="Part_own_15" localSheetId="11">#REF!</definedName>
    <definedName name="Part_own_15" localSheetId="7">#REF!</definedName>
    <definedName name="Part_own_15">'Bidder Information'!$E$52</definedName>
    <definedName name="Part_own_2" localSheetId="6">#REF!</definedName>
    <definedName name="Part_own_2" localSheetId="10">#REF!</definedName>
    <definedName name="Part_own_2" localSheetId="11">#REF!</definedName>
    <definedName name="Part_own_2" localSheetId="7">#REF!</definedName>
    <definedName name="Part_own_2">'Bidder Information'!$D$48</definedName>
    <definedName name="Part_own_3" localSheetId="6">#REF!</definedName>
    <definedName name="Part_own_3" localSheetId="10">#REF!</definedName>
    <definedName name="Part_own_3" localSheetId="11">#REF!</definedName>
    <definedName name="Part_own_3" localSheetId="7">#REF!</definedName>
    <definedName name="Part_own_3">'Bidder Information'!$E$48</definedName>
    <definedName name="Part_own_4" localSheetId="6">#REF!</definedName>
    <definedName name="Part_own_4" localSheetId="10">#REF!</definedName>
    <definedName name="Part_own_4" localSheetId="11">#REF!</definedName>
    <definedName name="Part_own_4" localSheetId="7">#REF!</definedName>
    <definedName name="Part_own_4">'Bidder Information'!$C$49</definedName>
    <definedName name="Part_own_5" localSheetId="6">#REF!</definedName>
    <definedName name="Part_own_5" localSheetId="10">#REF!</definedName>
    <definedName name="Part_own_5" localSheetId="11">#REF!</definedName>
    <definedName name="Part_own_5" localSheetId="7">#REF!</definedName>
    <definedName name="Part_own_5">'Bidder Information'!$D$49</definedName>
    <definedName name="Part_own_6" localSheetId="6">#REF!</definedName>
    <definedName name="Part_own_6" localSheetId="10">#REF!</definedName>
    <definedName name="Part_own_6" localSheetId="11">#REF!</definedName>
    <definedName name="Part_own_6" localSheetId="7">#REF!</definedName>
    <definedName name="Part_own_6">'Bidder Information'!$E$49</definedName>
    <definedName name="Part_own_7" localSheetId="6">#REF!</definedName>
    <definedName name="Part_own_7" localSheetId="10">#REF!</definedName>
    <definedName name="Part_own_7" localSheetId="11">#REF!</definedName>
    <definedName name="Part_own_7" localSheetId="7">#REF!</definedName>
    <definedName name="Part_own_7">'Bidder Information'!$C$50</definedName>
    <definedName name="Part_own_8" localSheetId="6">#REF!</definedName>
    <definedName name="Part_own_8" localSheetId="10">#REF!</definedName>
    <definedName name="Part_own_8" localSheetId="11">#REF!</definedName>
    <definedName name="Part_own_8" localSheetId="7">#REF!</definedName>
    <definedName name="Part_own_8">'Bidder Information'!$D$50</definedName>
    <definedName name="Part_own_9" localSheetId="6">#REF!</definedName>
    <definedName name="Part_own_9" localSheetId="10">#REF!</definedName>
    <definedName name="Part_own_9" localSheetId="11">#REF!</definedName>
    <definedName name="Part_own_9" localSheetId="7">#REF!</definedName>
    <definedName name="Part_own_9">'Bidder Information'!$E$50</definedName>
    <definedName name="Part_part_1" localSheetId="6">#REF!</definedName>
    <definedName name="Part_part_1" localSheetId="10">#REF!</definedName>
    <definedName name="Part_part_1" localSheetId="11">#REF!</definedName>
    <definedName name="Part_part_1" localSheetId="7">#REF!</definedName>
    <definedName name="Part_part_1">'Bidder Information'!$E$40</definedName>
    <definedName name="Part_part_2" localSheetId="6">#REF!</definedName>
    <definedName name="Part_part_2" localSheetId="10">#REF!</definedName>
    <definedName name="Part_part_2" localSheetId="11">#REF!</definedName>
    <definedName name="Part_part_2" localSheetId="7">#REF!</definedName>
    <definedName name="Part_part_2">'Bidder Information'!$E$42</definedName>
    <definedName name="Part_part_3" localSheetId="6">#REF!</definedName>
    <definedName name="Part_part_3" localSheetId="10">#REF!</definedName>
    <definedName name="Part_part_3" localSheetId="11">#REF!</definedName>
    <definedName name="Part_part_3" localSheetId="7">#REF!</definedName>
    <definedName name="Part_part_3">'Bidder Information'!$E$43</definedName>
    <definedName name="Part_pd_1">'Bidder Information'!$C$28</definedName>
    <definedName name="Part_pd_2">'Bidder Information'!$C$29</definedName>
    <definedName name="Part_pd_3">'Bidder Information'!$C$30</definedName>
    <definedName name="Part_pd_4">'Bidder Information'!$C$31</definedName>
    <definedName name="Part_pd_5">'Bidder Information'!$C$32</definedName>
    <definedName name="Part_pd_6">'Bidder Information'!$C$33</definedName>
    <definedName name="Part_pd_7">'Bidder Information'!$E$35</definedName>
    <definedName name="Part_pd_8">'Bidder Information'!$E$31</definedName>
    <definedName name="Part_pi_1">'Bidder Information'!$C$8</definedName>
    <definedName name="Part_pi_10">'Bidder Information'!$C$19</definedName>
    <definedName name="Part_pi_11">'Bidder Information'!$C$20</definedName>
    <definedName name="Part_pi_12">'Bidder Information'!$C$21</definedName>
    <definedName name="Part_pi_13">'Bidder Information'!$C$22</definedName>
    <definedName name="Part_pi_14">'Bidder Information'!$C$23</definedName>
    <definedName name="Part_pi_15">'Bidder Information'!$G$18</definedName>
    <definedName name="Part_pi_16">'Bidder Information'!$G$19</definedName>
    <definedName name="Part_pi_17">'Bidder Information'!$G$20</definedName>
    <definedName name="Part_pi_18">'Bidder Information'!$G$21</definedName>
    <definedName name="Part_pi_19">'Bidder Information'!$G$22</definedName>
    <definedName name="Part_pi_2">'Bidder Information'!$C$9</definedName>
    <definedName name="Part_pi_20">'Bidder Information'!$G$23</definedName>
    <definedName name="Part_pi_3">'Bidder Information'!$C$10</definedName>
    <definedName name="Part_pi_4">'Bidder Information'!$C$11</definedName>
    <definedName name="Part_pi_5">'Bidder Information'!$C$12</definedName>
    <definedName name="Part_pi_6">'Bidder Information'!$C$13</definedName>
    <definedName name="Part_pi_7">'Bidder Information'!$E$11</definedName>
    <definedName name="Part_pi_8">'Bidder Information'!$E$15</definedName>
    <definedName name="Part_pi_9">'Bidder Information'!$C$18</definedName>
    <definedName name="Part_sig_1">'Bidder Information'!$C$62</definedName>
    <definedName name="Part_sig_2">'Bidder Information'!$C$63</definedName>
    <definedName name="Part_sig_3">'Bidder Information'!$H$63</definedName>
    <definedName name="Part_sig_4">'Bidder Information'!$C$69</definedName>
    <definedName name="Part_sig_5">'Bidder Information'!$C$70</definedName>
    <definedName name="Part_sig_6">'Bidder Information'!$H$70</definedName>
    <definedName name="Part_sig_7">'Bidder Information'!$C$76</definedName>
    <definedName name="Part_sig_8">'Bidder Information'!$C$77</definedName>
    <definedName name="Part_sig_9">'Bidder Information'!$H$77</definedName>
    <definedName name="PCOP_anncharges" localSheetId="6">#REF!</definedName>
    <definedName name="PCOP_anncharges" localSheetId="10">#REF!</definedName>
    <definedName name="PCOP_anncharges" localSheetId="11">#REF!</definedName>
    <definedName name="PCOP_anncharges" localSheetId="7">#REF!</definedName>
    <definedName name="PCOP_anncharges">'Project Cost and Offer Price'!$C$35</definedName>
    <definedName name="PCOP_bos" localSheetId="6">#REF!</definedName>
    <definedName name="PCOP_bos" localSheetId="10">#REF!</definedName>
    <definedName name="PCOP_bos" localSheetId="11">#REF!</definedName>
    <definedName name="PCOP_bos" localSheetId="7">#REF!</definedName>
    <definedName name="PCOP_bos">'Project Cost and Offer Price'!$C$10</definedName>
    <definedName name="PCOP_eic" localSheetId="6">#REF!</definedName>
    <definedName name="PCOP_eic" localSheetId="10">#REF!</definedName>
    <definedName name="PCOP_eic" localSheetId="11">#REF!</definedName>
    <definedName name="PCOP_eic" localSheetId="7">#REF!</definedName>
    <definedName name="PCOP_eic">'Project Cost and Offer Price'!$C$15</definedName>
    <definedName name="PCOP_eicp" localSheetId="6">#REF!</definedName>
    <definedName name="PCOP_eicp" localSheetId="10">#REF!</definedName>
    <definedName name="PCOP_eicp" localSheetId="11">#REF!</definedName>
    <definedName name="PCOP_eicp" localSheetId="7">#REF!</definedName>
    <definedName name="PCOP_eicp">'Project Cost and Offer Price'!$F$15</definedName>
    <definedName name="PCOP_epc" localSheetId="6">#REF!</definedName>
    <definedName name="PCOP_epc" localSheetId="10">#REF!</definedName>
    <definedName name="PCOP_epc" localSheetId="11">#REF!</definedName>
    <definedName name="PCOP_epc" localSheetId="7">#REF!</definedName>
    <definedName name="PCOP_epc">'Project Cost and Offer Price'!$C$13</definedName>
    <definedName name="PCOP_epcp" localSheetId="6">#REF!</definedName>
    <definedName name="PCOP_epcp" localSheetId="10">#REF!</definedName>
    <definedName name="PCOP_epcp" localSheetId="11">#REF!</definedName>
    <definedName name="PCOP_epcp" localSheetId="7">#REF!</definedName>
    <definedName name="PCOP_epcp">'Project Cost and Offer Price'!$F$13</definedName>
    <definedName name="PCOP_fom" localSheetId="6">#REF!</definedName>
    <definedName name="PCOP_fom" localSheetId="10">#REF!</definedName>
    <definedName name="PCOP_fom" localSheetId="11">#REF!</definedName>
    <definedName name="PCOP_fom" localSheetId="7">#REF!</definedName>
    <definedName name="PCOP_fom">'Project Cost and Offer Price'!$C$18</definedName>
    <definedName name="PCOP_fom_2" localSheetId="6">#REF!</definedName>
    <definedName name="PCOP_fom_2" localSheetId="10">#REF!</definedName>
    <definedName name="PCOP_fom_2" localSheetId="11">#REF!</definedName>
    <definedName name="PCOP_fom_2" localSheetId="7">#REF!</definedName>
    <definedName name="PCOP_fom_2">'Project Cost and Offer Price'!$C$19</definedName>
    <definedName name="PCOP_fom_3" localSheetId="6">#REF!</definedName>
    <definedName name="PCOP_fom_3" localSheetId="10">#REF!</definedName>
    <definedName name="PCOP_fom_3" localSheetId="11">#REF!</definedName>
    <definedName name="PCOP_fom_3" localSheetId="7">#REF!</definedName>
    <definedName name="PCOP_fom_3">'Project Cost and Offer Price'!$C$20</definedName>
    <definedName name="PCOP_fom_4" localSheetId="6">#REF!</definedName>
    <definedName name="PCOP_fom_4" localSheetId="10">#REF!</definedName>
    <definedName name="PCOP_fom_4" localSheetId="11">#REF!</definedName>
    <definedName name="PCOP_fom_4" localSheetId="7">#REF!</definedName>
    <definedName name="PCOP_fom_4">'Project Cost and Offer Price'!$C$21</definedName>
    <definedName name="PCOP_fom_5" localSheetId="6">#REF!</definedName>
    <definedName name="PCOP_fom_5" localSheetId="10">#REF!</definedName>
    <definedName name="PCOP_fom_5" localSheetId="11">#REF!</definedName>
    <definedName name="PCOP_fom_5" localSheetId="7">#REF!</definedName>
    <definedName name="PCOP_fom_5">'Project Cost and Offer Price'!$C$22</definedName>
    <definedName name="PCOP_fom_6" localSheetId="6">#REF!</definedName>
    <definedName name="PCOP_fom_6" localSheetId="10">#REF!</definedName>
    <definedName name="PCOP_fom_6" localSheetId="11">#REF!</definedName>
    <definedName name="PCOP_fom_6" localSheetId="7">#REF!</definedName>
    <definedName name="PCOP_fom_6">'Project Cost and Offer Price'!$C$23</definedName>
    <definedName name="PCOP_fom_7" localSheetId="6">#REF!</definedName>
    <definedName name="PCOP_fom_7" localSheetId="10">#REF!</definedName>
    <definedName name="PCOP_fom_7" localSheetId="11">#REF!</definedName>
    <definedName name="PCOP_fom_7" localSheetId="7">#REF!</definedName>
    <definedName name="PCOP_fom_7">'Project Cost and Offer Price'!$C$24</definedName>
    <definedName name="PCOP_pcs" localSheetId="6">#REF!</definedName>
    <definedName name="PCOP_pcs" localSheetId="10">#REF!</definedName>
    <definedName name="PCOP_pcs" localSheetId="11">#REF!</definedName>
    <definedName name="PCOP_pcs" localSheetId="7">#REF!</definedName>
    <definedName name="PCOP_pcs">'Project Cost and Offer Price'!$C$9</definedName>
    <definedName name="PCOP_ps" localSheetId="6">#REF!</definedName>
    <definedName name="PCOP_ps" localSheetId="10">#REF!</definedName>
    <definedName name="PCOP_ps" localSheetId="11">#REF!</definedName>
    <definedName name="PCOP_ps" localSheetId="7">#REF!</definedName>
    <definedName name="PCOP_ps">'Project Cost and Offer Price'!$C$14</definedName>
    <definedName name="PCOP_psp" localSheetId="6">#REF!</definedName>
    <definedName name="PCOP_psp" localSheetId="10">#REF!</definedName>
    <definedName name="PCOP_psp" localSheetId="11">#REF!</definedName>
    <definedName name="PCOP_psp" localSheetId="7">#REF!</definedName>
    <definedName name="PCOP_psp">'Project Cost and Offer Price'!$F$14</definedName>
    <definedName name="PCOP_sm" localSheetId="6">#REF!</definedName>
    <definedName name="PCOP_sm" localSheetId="10">#REF!</definedName>
    <definedName name="PCOP_sm" localSheetId="11">#REF!</definedName>
    <definedName name="PCOP_sm" localSheetId="7">#REF!</definedName>
    <definedName name="PCOP_sm">'Project Cost and Offer Price'!$C$8</definedName>
    <definedName name="PCOP_stationcharges" localSheetId="6">#REF!</definedName>
    <definedName name="PCOP_stationcharges" localSheetId="10">#REF!</definedName>
    <definedName name="PCOP_stationcharges" localSheetId="11">#REF!</definedName>
    <definedName name="PCOP_stationcharges" localSheetId="7">#REF!</definedName>
    <definedName name="PCOP_stationcharges">'Project Cost and Offer Price'!$C$34</definedName>
    <definedName name="PCOP_tot" localSheetId="6">#REF!</definedName>
    <definedName name="PCOP_tot" localSheetId="10">#REF!</definedName>
    <definedName name="PCOP_tot" localSheetId="11">#REF!</definedName>
    <definedName name="PCOP_tot" localSheetId="7">#REF!</definedName>
    <definedName name="PCOP_tot">'Project Cost and Offer Price'!$C$12</definedName>
    <definedName name="PCOP_totp" localSheetId="6">#REF!</definedName>
    <definedName name="PCOP_totp" localSheetId="10">#REF!</definedName>
    <definedName name="PCOP_totp" localSheetId="11">#REF!</definedName>
    <definedName name="PCOP_totp" localSheetId="7">#REF!</definedName>
    <definedName name="PCOP_totp">'Project Cost and Offer Price'!$F$12</definedName>
    <definedName name="PCOP_trf" localSheetId="6">#REF!</definedName>
    <definedName name="PCOP_trf" localSheetId="10">#REF!</definedName>
    <definedName name="PCOP_trf" localSheetId="11">#REF!</definedName>
    <definedName name="PCOP_trf" localSheetId="7">#REF!</definedName>
    <definedName name="PCOP_trf">'Project Cost and Offer Price'!$C$39</definedName>
    <definedName name="PCOP_vom" localSheetId="6">#REF!</definedName>
    <definedName name="PCOP_vom" localSheetId="10">#REF!</definedName>
    <definedName name="PCOP_vom" localSheetId="11">#REF!</definedName>
    <definedName name="PCOP_vom" localSheetId="7">#REF!</definedName>
    <definedName name="PCOP_vom">'Project Cost and Offer Price'!#REF!</definedName>
    <definedName name="PCOP_y1pay" localSheetId="6">#REF!</definedName>
    <definedName name="PCOP_y1pay" localSheetId="10">#REF!</definedName>
    <definedName name="PCOP_y1pay" localSheetId="11">#REF!</definedName>
    <definedName name="PCOP_y1pay" localSheetId="7">#REF!</definedName>
    <definedName name="PCOP_y1pay">'Project Cost and Offer Price'!$C$40</definedName>
    <definedName name="PCOP_y27pay" localSheetId="6">#REF!</definedName>
    <definedName name="PCOP_y27pay" localSheetId="10">#REF!</definedName>
    <definedName name="PCOP_y27pay" localSheetId="11">#REF!</definedName>
    <definedName name="PCOP_y27pay" localSheetId="7">#REF!</definedName>
    <definedName name="PCOP_y27pay">'Project Cost and Offer Price'!$C$41</definedName>
    <definedName name="_xlnm.Print_Area" localSheetId="7">'Warranty Summary'!$B$2:$G$20</definedName>
    <definedName name="Proj_es_1">'Project Information'!$C$74</definedName>
    <definedName name="Proj_es_10">'Project Information'!$C$81</definedName>
    <definedName name="Proj_es_11">'Project Information'!$G$81</definedName>
    <definedName name="Proj_es_12">'Project Information'!$C$82</definedName>
    <definedName name="Proj_es_13">'Project Information'!$C$83</definedName>
    <definedName name="Proj_es_14">'Project Information'!$G$83</definedName>
    <definedName name="Proj_es_15">'Project Information'!$C$84</definedName>
    <definedName name="Proj_es_16">'Project Information'!$C$85</definedName>
    <definedName name="Proj_es_17">'Project Information'!$G$85</definedName>
    <definedName name="Proj_es_18">'Project Information'!$C$86</definedName>
    <definedName name="Proj_es_19">'Project Information'!$C$87</definedName>
    <definedName name="Proj_es_2">'Project Information'!$G$74</definedName>
    <definedName name="Proj_es_20">'Project Information'!$G$87</definedName>
    <definedName name="Proj_es_3">'Project Information'!$C$75</definedName>
    <definedName name="Proj_es_4">'Project Information'!$G$75</definedName>
    <definedName name="Proj_es_5">'Project Information'!$C$76</definedName>
    <definedName name="Proj_es_6">'Project Information'!$G$76</definedName>
    <definedName name="Proj_es_7">'Project Information'!$C$77</definedName>
    <definedName name="Proj_es_8">'Project Information'!$G$77</definedName>
    <definedName name="Proj_es_9">'Project Information'!$C$80</definedName>
    <definedName name="Proj_pi_1" localSheetId="6">#REF!</definedName>
    <definedName name="Proj_pi_1" localSheetId="10">#REF!</definedName>
    <definedName name="Proj_pi_1" localSheetId="11">#REF!</definedName>
    <definedName name="Proj_pi_1" localSheetId="7">#REF!</definedName>
    <definedName name="Proj_pi_1">'Project Information'!$C$8</definedName>
    <definedName name="Proj_pi_10" localSheetId="6">#REF!</definedName>
    <definedName name="Proj_pi_10" localSheetId="10">#REF!</definedName>
    <definedName name="Proj_pi_10" localSheetId="11">#REF!</definedName>
    <definedName name="Proj_pi_10" localSheetId="7">#REF!</definedName>
    <definedName name="Proj_pi_10">'Project Information'!$C$21</definedName>
    <definedName name="Proj_pi_11" localSheetId="6">#REF!</definedName>
    <definedName name="Proj_pi_11" localSheetId="10">#REF!</definedName>
    <definedName name="Proj_pi_11" localSheetId="11">#REF!</definedName>
    <definedName name="Proj_pi_11" localSheetId="7">#REF!</definedName>
    <definedName name="Proj_pi_11">'Project Information'!$C$22</definedName>
    <definedName name="Proj_pi_12" localSheetId="6">#REF!</definedName>
    <definedName name="Proj_pi_12" localSheetId="10">#REF!</definedName>
    <definedName name="Proj_pi_12" localSheetId="11">#REF!</definedName>
    <definedName name="Proj_pi_12" localSheetId="7">#REF!</definedName>
    <definedName name="Proj_pi_12">'Project Information'!$C$23</definedName>
    <definedName name="Proj_pi_2" localSheetId="6">#REF!</definedName>
    <definedName name="Proj_pi_2" localSheetId="10">#REF!</definedName>
    <definedName name="Proj_pi_2" localSheetId="11">#REF!</definedName>
    <definedName name="Proj_pi_2" localSheetId="7">#REF!</definedName>
    <definedName name="Proj_pi_2">'Project Information'!$C$9</definedName>
    <definedName name="Proj_pi_3" localSheetId="6">#REF!</definedName>
    <definedName name="Proj_pi_3" localSheetId="10">#REF!</definedName>
    <definedName name="Proj_pi_3" localSheetId="11">#REF!</definedName>
    <definedName name="Proj_pi_3" localSheetId="7">#REF!</definedName>
    <definedName name="Proj_pi_3">'Project Information'!$C$10</definedName>
    <definedName name="Proj_pi_4" localSheetId="6">#REF!</definedName>
    <definedName name="Proj_pi_4" localSheetId="10">#REF!</definedName>
    <definedName name="Proj_pi_4" localSheetId="11">#REF!</definedName>
    <definedName name="Proj_pi_4" localSheetId="7">#REF!</definedName>
    <definedName name="Proj_pi_4">'Project Information'!$C$11</definedName>
    <definedName name="Proj_pi_5" localSheetId="6">#REF!</definedName>
    <definedName name="Proj_pi_5" localSheetId="10">#REF!</definedName>
    <definedName name="Proj_pi_5" localSheetId="11">#REF!</definedName>
    <definedName name="Proj_pi_5" localSheetId="7">#REF!</definedName>
    <definedName name="Proj_pi_5">'Project Information'!$C$12</definedName>
    <definedName name="Proj_pi_6" localSheetId="6">#REF!</definedName>
    <definedName name="Proj_pi_6" localSheetId="10">#REF!</definedName>
    <definedName name="Proj_pi_6" localSheetId="11">#REF!</definedName>
    <definedName name="Proj_pi_6" localSheetId="7">#REF!</definedName>
    <definedName name="Proj_pi_6">'Project Information'!$G$11</definedName>
    <definedName name="Proj_pi_7" localSheetId="6">#REF!</definedName>
    <definedName name="Proj_pi_7" localSheetId="10">#REF!</definedName>
    <definedName name="Proj_pi_7" localSheetId="11">#REF!</definedName>
    <definedName name="Proj_pi_7" localSheetId="7">#REF!</definedName>
    <definedName name="Proj_pi_7">'Project Information'!$G$12</definedName>
    <definedName name="Proj_pi_8" localSheetId="6">#REF!</definedName>
    <definedName name="Proj_pi_8" localSheetId="10">#REF!</definedName>
    <definedName name="Proj_pi_8" localSheetId="11">#REF!</definedName>
    <definedName name="Proj_pi_8" localSheetId="7">#REF!</definedName>
    <definedName name="Proj_pi_8">'Project Information'!$C$14</definedName>
    <definedName name="Proj_pi_9" localSheetId="6">#REF!</definedName>
    <definedName name="Proj_pi_9" localSheetId="10">#REF!</definedName>
    <definedName name="Proj_pi_9" localSheetId="11">#REF!</definedName>
    <definedName name="Proj_pi_9" localSheetId="7">#REF!</definedName>
    <definedName name="Proj_pi_9">'Project Information'!$C$20</definedName>
    <definedName name="Proj_pi_iqn" localSheetId="6">#REF!</definedName>
    <definedName name="Proj_pi_iqn" localSheetId="10">#REF!</definedName>
    <definedName name="Proj_pi_iqn" localSheetId="11">#REF!</definedName>
    <definedName name="Proj_pi_iqn" localSheetId="7">#REF!</definedName>
    <definedName name="Proj_pi_iqn">'Project Information'!$C$17</definedName>
    <definedName name="Proj_pi_iv" localSheetId="6">#REF!</definedName>
    <definedName name="Proj_pi_iv" localSheetId="10">#REF!</definedName>
    <definedName name="Proj_pi_iv" localSheetId="11">#REF!</definedName>
    <definedName name="Proj_pi_iv" localSheetId="7">#REF!</definedName>
    <definedName name="Proj_pi_iv">'Project Information'!$C$16</definedName>
    <definedName name="Proj_pi_loadarea" localSheetId="6">#REF!</definedName>
    <definedName name="Proj_pi_loadarea" localSheetId="10">#REF!</definedName>
    <definedName name="Proj_pi_loadarea" localSheetId="11">#REF!</definedName>
    <definedName name="Proj_pi_loadarea" localSheetId="7">#REF!</definedName>
    <definedName name="Proj_pi_loadarea">'Project Information'!$C$18</definedName>
    <definedName name="Proj_pi_poi" localSheetId="6">#REF!</definedName>
    <definedName name="Proj_pi_poi" localSheetId="10">#REF!</definedName>
    <definedName name="Proj_pi_poi" localSheetId="11">#REF!</definedName>
    <definedName name="Proj_pi_poi" localSheetId="7">#REF!</definedName>
    <definedName name="Proj_pi_poi">'Project Information'!$C$15</definedName>
    <definedName name="Proj_pi_subzonal" localSheetId="6">#REF!</definedName>
    <definedName name="Proj_pi_subzonal" localSheetId="10">#REF!</definedName>
    <definedName name="Proj_pi_subzonal" localSheetId="11">#REF!</definedName>
    <definedName name="Proj_pi_subzonal" localSheetId="7">#REF!</definedName>
    <definedName name="Proj_pi_subzonal">'Project Information'!#REF!</definedName>
    <definedName name="Proj_ss_1" localSheetId="6">#REF!</definedName>
    <definedName name="Proj_ss_1" localSheetId="10">#REF!</definedName>
    <definedName name="Proj_ss_1" localSheetId="11">#REF!</definedName>
    <definedName name="Proj_ss_1" localSheetId="7">#REF!</definedName>
    <definedName name="Proj_ss_1">'Project Information'!#REF!</definedName>
    <definedName name="Proj_ss_2" localSheetId="6">#REF!</definedName>
    <definedName name="Proj_ss_2" localSheetId="10">#REF!</definedName>
    <definedName name="Proj_ss_2" localSheetId="11">#REF!</definedName>
    <definedName name="Proj_ss_2" localSheetId="7">#REF!</definedName>
    <definedName name="Proj_ss_2">'Project Information'!#REF!</definedName>
    <definedName name="Proj_ts_1" localSheetId="6">#REF!</definedName>
    <definedName name="Proj_ts_1" localSheetId="10">#REF!</definedName>
    <definedName name="Proj_ts_1" localSheetId="11">#REF!</definedName>
    <definedName name="Proj_ts_1" localSheetId="7">#REF!</definedName>
    <definedName name="Proj_ts_1">'Project Information'!$C$29</definedName>
    <definedName name="Proj_ts_10">'Project Information'!#REF!</definedName>
    <definedName name="Proj_ts_11">'Project Information'!#REF!</definedName>
    <definedName name="Proj_ts_12">'Project Information'!#REF!</definedName>
    <definedName name="Proj_ts_13">'Project Information'!#REF!</definedName>
    <definedName name="Proj_ts_2" localSheetId="6">#REF!</definedName>
    <definedName name="Proj_ts_2" localSheetId="10">#REF!</definedName>
    <definedName name="Proj_ts_2" localSheetId="11">#REF!</definedName>
    <definedName name="Proj_ts_2" localSheetId="7">#REF!</definedName>
    <definedName name="Proj_ts_2">'Project Information'!$C$30</definedName>
    <definedName name="Proj_ts_3">'Project Information'!$C$31</definedName>
    <definedName name="Proj_ts_4">'Project Information'!$C$32</definedName>
    <definedName name="Proj_ts_5" localSheetId="6">#REF!</definedName>
    <definedName name="Proj_ts_5" localSheetId="10">#REF!</definedName>
    <definedName name="Proj_ts_5" localSheetId="11">#REF!</definedName>
    <definedName name="Proj_ts_5" localSheetId="7">#REF!</definedName>
    <definedName name="Proj_ts_5">'Project Information'!$G$29</definedName>
    <definedName name="Proj_ts_6" localSheetId="6">#REF!</definedName>
    <definedName name="Proj_ts_6" localSheetId="10">#REF!</definedName>
    <definedName name="Proj_ts_6" localSheetId="11">#REF!</definedName>
    <definedName name="Proj_ts_6" localSheetId="7">#REF!</definedName>
    <definedName name="Proj_ts_6">'Project Information'!$G$30</definedName>
    <definedName name="Proj_ts_7">'Project Information'!$G$31</definedName>
    <definedName name="Proj_ts_8">'Project Information'!$G$32</definedName>
    <definedName name="Proj_ts_9">'Project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4" l="1"/>
  <c r="B3" i="13"/>
  <c r="B3" i="12" l="1"/>
  <c r="C40" i="9"/>
  <c r="C41" i="9" s="1"/>
  <c r="C12" i="9" l="1"/>
  <c r="B3" i="11"/>
  <c r="C16" i="6" l="1"/>
  <c r="C15" i="6"/>
  <c r="B3" i="9" l="1"/>
  <c r="B3" i="6"/>
  <c r="B3" i="5"/>
  <c r="D126" i="10" l="1"/>
  <c r="E126" i="10" s="1"/>
  <c r="D125" i="10"/>
  <c r="E125" i="10" s="1"/>
  <c r="D124" i="10"/>
  <c r="E124" i="10" s="1"/>
  <c r="D123" i="10"/>
  <c r="E123" i="10" s="1"/>
  <c r="D122" i="10"/>
  <c r="E122" i="10" s="1"/>
  <c r="D121" i="10"/>
  <c r="E121" i="10" s="1"/>
  <c r="D127" i="10" l="1"/>
  <c r="E127" i="10" s="1"/>
  <c r="D353" i="10"/>
  <c r="D352" i="10"/>
  <c r="D351" i="10"/>
  <c r="D350" i="10"/>
  <c r="D349" i="10"/>
  <c r="D348" i="10"/>
  <c r="D347" i="10"/>
  <c r="D346" i="10"/>
  <c r="D345" i="10"/>
  <c r="D344" i="10"/>
  <c r="D343" i="10"/>
  <c r="D342" i="10"/>
  <c r="D341" i="10"/>
  <c r="E341" i="10" s="1"/>
  <c r="D338" i="10"/>
  <c r="D337" i="10"/>
  <c r="D336" i="10"/>
  <c r="D335" i="10"/>
  <c r="D334" i="10"/>
  <c r="D333" i="10"/>
  <c r="D332" i="10"/>
  <c r="D331" i="10"/>
  <c r="D330" i="10"/>
  <c r="D329" i="10"/>
  <c r="D328" i="10"/>
  <c r="D327" i="10"/>
  <c r="D326" i="10"/>
  <c r="E326" i="10" s="1"/>
  <c r="D325" i="10"/>
  <c r="D47" i="10"/>
  <c r="D46" i="10"/>
  <c r="D45" i="10"/>
  <c r="D54" i="4" l="1"/>
  <c r="E54" i="4"/>
  <c r="B3" i="4"/>
  <c r="D128" i="10" l="1"/>
  <c r="E128" i="10" s="1"/>
  <c r="D120" i="10"/>
  <c r="E120" i="10" s="1"/>
  <c r="D72" i="10" l="1"/>
  <c r="E72" i="10" s="1"/>
  <c r="D71" i="10"/>
  <c r="E71" i="10" s="1"/>
  <c r="D70" i="10"/>
  <c r="E70" i="10" s="1"/>
  <c r="D382" i="10"/>
  <c r="E382" i="10" s="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D69" i="10"/>
  <c r="D381" i="10"/>
  <c r="E381" i="10" s="1"/>
  <c r="D380" i="10"/>
  <c r="E380" i="10" s="1"/>
  <c r="D379" i="10"/>
  <c r="E379" i="10" s="1"/>
  <c r="D378" i="10"/>
  <c r="E378" i="10" s="1"/>
  <c r="D377" i="10"/>
  <c r="E377" i="10" s="1"/>
  <c r="D376" i="10"/>
  <c r="E376" i="10" s="1"/>
  <c r="D375" i="10"/>
  <c r="E375" i="10" s="1"/>
  <c r="D374" i="10"/>
  <c r="E374" i="10" s="1"/>
  <c r="D373" i="10"/>
  <c r="E373" i="10" s="1"/>
  <c r="D372" i="10"/>
  <c r="E372" i="10" s="1"/>
  <c r="D371" i="10"/>
  <c r="E371" i="10" s="1"/>
  <c r="D370" i="10"/>
  <c r="E370" i="10" s="1"/>
  <c r="D369" i="10"/>
  <c r="E369" i="10" s="1"/>
  <c r="D368" i="10"/>
  <c r="E368" i="10" s="1"/>
  <c r="D367" i="10"/>
  <c r="E367" i="10" s="1"/>
  <c r="D366" i="10"/>
  <c r="E366" i="10" s="1"/>
  <c r="D365" i="10"/>
  <c r="E365" i="10" s="1"/>
  <c r="D364" i="10"/>
  <c r="E364" i="10" s="1"/>
  <c r="D363" i="10"/>
  <c r="E363" i="10" s="1"/>
  <c r="D362" i="10"/>
  <c r="E362" i="10" s="1"/>
  <c r="D361" i="10"/>
  <c r="E361" i="10" s="1"/>
  <c r="D360" i="10"/>
  <c r="E360" i="10" s="1"/>
  <c r="D359" i="10"/>
  <c r="E359" i="10" s="1"/>
  <c r="D358" i="10"/>
  <c r="E358" i="10" s="1"/>
  <c r="D357" i="10"/>
  <c r="E357" i="10" s="1"/>
  <c r="D356" i="10"/>
  <c r="E356" i="10" s="1"/>
  <c r="D355" i="10"/>
  <c r="E355" i="10" s="1"/>
  <c r="D354" i="10"/>
  <c r="E354" i="10" s="1"/>
  <c r="D340" i="10"/>
  <c r="D339" i="10"/>
  <c r="E339" i="10" s="1"/>
  <c r="D324" i="10"/>
  <c r="D323" i="10"/>
  <c r="D322" i="10"/>
  <c r="D321" i="10"/>
  <c r="D320" i="10"/>
  <c r="D319" i="10"/>
  <c r="D318" i="10"/>
  <c r="D317" i="10"/>
  <c r="D316" i="10"/>
  <c r="D315" i="10"/>
  <c r="D314" i="10"/>
  <c r="D313" i="10"/>
  <c r="D312" i="10"/>
  <c r="E312" i="10" s="1"/>
  <c r="D311" i="10"/>
  <c r="D310" i="10"/>
  <c r="D309" i="10"/>
  <c r="D308" i="10"/>
  <c r="D307" i="10"/>
  <c r="D306" i="10"/>
  <c r="D305" i="10"/>
  <c r="D304" i="10"/>
  <c r="D303" i="10"/>
  <c r="D302" i="10"/>
  <c r="D301" i="10"/>
  <c r="D300" i="10"/>
  <c r="D299" i="10"/>
  <c r="D298" i="10"/>
  <c r="E298" i="10" s="1"/>
  <c r="D297" i="10"/>
  <c r="D296" i="10"/>
  <c r="D295" i="10"/>
  <c r="D294" i="10"/>
  <c r="D293" i="10"/>
  <c r="D292" i="10"/>
  <c r="D291" i="10"/>
  <c r="D290" i="10"/>
  <c r="D289" i="10"/>
  <c r="D288" i="10"/>
  <c r="D287" i="10"/>
  <c r="D286" i="10"/>
  <c r="D285" i="10"/>
  <c r="D284" i="10"/>
  <c r="E284" i="10" s="1"/>
  <c r="D283" i="10"/>
  <c r="D282" i="10"/>
  <c r="D281" i="10"/>
  <c r="D280" i="10"/>
  <c r="D279" i="10"/>
  <c r="D278" i="10"/>
  <c r="D277" i="10"/>
  <c r="D276" i="10"/>
  <c r="D275" i="10"/>
  <c r="D274" i="10"/>
  <c r="D273" i="10"/>
  <c r="D272" i="10"/>
  <c r="D271" i="10"/>
  <c r="D270" i="10"/>
  <c r="E270" i="10" s="1"/>
  <c r="D269" i="10"/>
  <c r="D268" i="10"/>
  <c r="D267" i="10"/>
  <c r="D266" i="10"/>
  <c r="D265" i="10"/>
  <c r="D264" i="10"/>
  <c r="D263" i="10"/>
  <c r="D262" i="10"/>
  <c r="D261" i="10"/>
  <c r="D260" i="10"/>
  <c r="D259" i="10"/>
  <c r="D258" i="10"/>
  <c r="D257" i="10"/>
  <c r="D256" i="10"/>
  <c r="E256" i="10" s="1"/>
  <c r="D255" i="10"/>
  <c r="D254" i="10"/>
  <c r="D253" i="10"/>
  <c r="D252" i="10"/>
  <c r="D251" i="10"/>
  <c r="D250" i="10"/>
  <c r="D249" i="10"/>
  <c r="D248" i="10"/>
  <c r="D247" i="10"/>
  <c r="D246" i="10"/>
  <c r="D245" i="10"/>
  <c r="D244" i="10"/>
  <c r="D243" i="10"/>
  <c r="D242" i="10"/>
  <c r="E242" i="10" s="1"/>
  <c r="D241" i="10"/>
  <c r="D240" i="10"/>
  <c r="D239" i="10"/>
  <c r="D238" i="10"/>
  <c r="D237" i="10"/>
  <c r="D236" i="10"/>
  <c r="D235" i="10"/>
  <c r="D234" i="10"/>
  <c r="D233" i="10"/>
  <c r="D232" i="10"/>
  <c r="D231" i="10"/>
  <c r="D230" i="10"/>
  <c r="D229" i="10"/>
  <c r="D228" i="10"/>
  <c r="E228" i="10" s="1"/>
  <c r="D227" i="10"/>
  <c r="D226" i="10"/>
  <c r="D225" i="10"/>
  <c r="D224" i="10"/>
  <c r="D223" i="10"/>
  <c r="D222" i="10"/>
  <c r="D221" i="10"/>
  <c r="D220" i="10"/>
  <c r="D219" i="10"/>
  <c r="D218" i="10"/>
  <c r="D217" i="10"/>
  <c r="D216" i="10"/>
  <c r="D215" i="10"/>
  <c r="D214" i="10"/>
  <c r="E214" i="10" s="1"/>
  <c r="D213" i="10"/>
  <c r="D212" i="10"/>
  <c r="D211" i="10"/>
  <c r="D210" i="10"/>
  <c r="D209" i="10"/>
  <c r="D208" i="10"/>
  <c r="D207" i="10"/>
  <c r="D206" i="10"/>
  <c r="D205" i="10"/>
  <c r="D204" i="10"/>
  <c r="D203" i="10"/>
  <c r="D202" i="10"/>
  <c r="D201" i="10"/>
  <c r="D200" i="10"/>
  <c r="E200" i="10" s="1"/>
  <c r="D199" i="10"/>
  <c r="D198" i="10"/>
  <c r="D197" i="10"/>
  <c r="D196" i="10"/>
  <c r="D195" i="10"/>
  <c r="D194" i="10"/>
  <c r="D193" i="10"/>
  <c r="D192" i="10"/>
  <c r="D191" i="10"/>
  <c r="D190" i="10"/>
  <c r="D189" i="10"/>
  <c r="D188" i="10"/>
  <c r="D187" i="10"/>
  <c r="D186" i="10"/>
  <c r="E186" i="10" s="1"/>
  <c r="D185" i="10"/>
  <c r="D184" i="10"/>
  <c r="D183" i="10"/>
  <c r="D182" i="10"/>
  <c r="D181" i="10"/>
  <c r="D180" i="10"/>
  <c r="D179" i="10"/>
  <c r="D178" i="10"/>
  <c r="D177" i="10"/>
  <c r="D176" i="10"/>
  <c r="D175" i="10"/>
  <c r="D174" i="10"/>
  <c r="D173" i="10"/>
  <c r="D172" i="10"/>
  <c r="E172" i="10" s="1"/>
  <c r="D171" i="10"/>
  <c r="D170" i="10"/>
  <c r="D169" i="10"/>
  <c r="D168" i="10"/>
  <c r="D167" i="10"/>
  <c r="D166" i="10"/>
  <c r="D165" i="10"/>
  <c r="D164" i="10"/>
  <c r="D163" i="10"/>
  <c r="D162" i="10"/>
  <c r="D161" i="10"/>
  <c r="D160" i="10"/>
  <c r="D159" i="10"/>
  <c r="D158" i="10"/>
  <c r="E158" i="10" s="1"/>
  <c r="D157" i="10"/>
  <c r="D156" i="10"/>
  <c r="D155" i="10"/>
  <c r="D154" i="10"/>
  <c r="D153" i="10"/>
  <c r="D152" i="10"/>
  <c r="D151" i="10"/>
  <c r="D150" i="10"/>
  <c r="D149" i="10"/>
  <c r="D148" i="10"/>
  <c r="D147" i="10"/>
  <c r="D146" i="10"/>
  <c r="D145" i="10"/>
  <c r="D144" i="10"/>
  <c r="E144" i="10" s="1"/>
  <c r="D142" i="10"/>
  <c r="D141" i="10"/>
  <c r="D140" i="10"/>
  <c r="D139" i="10"/>
  <c r="D138" i="10"/>
  <c r="D137" i="10"/>
  <c r="D136" i="10"/>
  <c r="D135" i="10"/>
  <c r="D134" i="10"/>
  <c r="D133" i="10"/>
  <c r="D132" i="10"/>
  <c r="D131" i="10"/>
  <c r="D130" i="10"/>
  <c r="E130" i="10" s="1"/>
  <c r="D117" i="10"/>
  <c r="E117" i="10" s="1"/>
  <c r="D112" i="10"/>
  <c r="E112" i="10" s="1"/>
  <c r="D111" i="10"/>
  <c r="E111" i="10" s="1"/>
  <c r="D110" i="10"/>
  <c r="E110" i="10" s="1"/>
  <c r="D108" i="10"/>
  <c r="E108" i="10" s="1"/>
  <c r="D107" i="10"/>
  <c r="E107" i="10" s="1"/>
  <c r="D106" i="10"/>
  <c r="E106" i="10" s="1"/>
  <c r="D105" i="10"/>
  <c r="D104" i="10"/>
  <c r="D103" i="10"/>
  <c r="D102" i="10"/>
  <c r="D101" i="10"/>
  <c r="D100" i="10"/>
  <c r="D99" i="10"/>
  <c r="D98" i="10"/>
  <c r="D97" i="10"/>
  <c r="D96" i="10"/>
  <c r="D95" i="10"/>
  <c r="D94" i="10"/>
  <c r="D93" i="10"/>
  <c r="E93" i="10" s="1"/>
  <c r="D92" i="10"/>
  <c r="E92" i="10" s="1"/>
  <c r="D91" i="10"/>
  <c r="E91" i="10" s="1"/>
  <c r="D90" i="10"/>
  <c r="E90" i="10" s="1"/>
  <c r="D89" i="10"/>
  <c r="E89" i="10" s="1"/>
  <c r="D88" i="10"/>
  <c r="E88" i="10" s="1"/>
  <c r="D87" i="10"/>
  <c r="E87" i="10" s="1"/>
  <c r="D86" i="10"/>
  <c r="E86" i="10" s="1"/>
  <c r="D85" i="10"/>
  <c r="E85" i="10" s="1"/>
  <c r="D84" i="10"/>
  <c r="E84" i="10" s="1"/>
  <c r="D83" i="10"/>
  <c r="E83" i="10" s="1"/>
  <c r="D82" i="10"/>
  <c r="E82" i="10" s="1"/>
  <c r="D81" i="10"/>
  <c r="E81" i="10" s="1"/>
  <c r="D80" i="10"/>
  <c r="D79" i="10"/>
  <c r="D78" i="10"/>
  <c r="D77" i="10"/>
  <c r="D76" i="10"/>
  <c r="E76" i="10" s="1"/>
  <c r="D75" i="10"/>
  <c r="E75" i="10" s="1"/>
  <c r="D74" i="10"/>
  <c r="E74" i="10" s="1"/>
  <c r="D73" i="10"/>
  <c r="E73" i="10" s="1"/>
  <c r="D68" i="10"/>
  <c r="E68" i="10" s="1"/>
  <c r="D67" i="10"/>
  <c r="E67" i="10" s="1"/>
  <c r="D66" i="10"/>
  <c r="E66" i="10" s="1"/>
  <c r="D65" i="10"/>
  <c r="E65" i="10" s="1"/>
  <c r="D64" i="10"/>
  <c r="E64" i="10" s="1"/>
  <c r="D63" i="10"/>
  <c r="E63" i="10" s="1"/>
  <c r="D62" i="10"/>
  <c r="E62" i="10" s="1"/>
  <c r="D61" i="10"/>
  <c r="E61" i="10" s="1"/>
  <c r="D60" i="10"/>
  <c r="E60" i="10" s="1"/>
  <c r="D59" i="10"/>
  <c r="E59" i="10" s="1"/>
  <c r="D58" i="10"/>
  <c r="E58" i="10" s="1"/>
  <c r="D57" i="10"/>
  <c r="E57" i="10" s="1"/>
  <c r="D56" i="10"/>
  <c r="E56" i="10" s="1"/>
  <c r="D55" i="10"/>
  <c r="E55" i="10" s="1"/>
  <c r="D54" i="10"/>
  <c r="D53" i="10"/>
  <c r="E53" i="10" s="1"/>
  <c r="D52" i="10"/>
  <c r="E52" i="10" s="1"/>
  <c r="D51" i="10"/>
  <c r="D50" i="10"/>
  <c r="E50" i="10" s="1"/>
  <c r="D49" i="10"/>
  <c r="E49" i="10" s="1"/>
  <c r="D48" i="10"/>
  <c r="D44" i="10"/>
  <c r="D43" i="10"/>
  <c r="D42" i="10"/>
  <c r="D41" i="10"/>
  <c r="D40" i="10"/>
  <c r="D39" i="10"/>
  <c r="D38" i="10"/>
  <c r="D37" i="10"/>
  <c r="D36" i="10"/>
  <c r="D35" i="10"/>
  <c r="E35" i="10" s="1"/>
  <c r="D34" i="10"/>
  <c r="E34" i="10" s="1"/>
  <c r="D33" i="10"/>
  <c r="E33" i="10" s="1"/>
  <c r="D32" i="10"/>
  <c r="E32" i="10" s="1"/>
  <c r="D31" i="10"/>
  <c r="E31" i="10" s="1"/>
  <c r="D30" i="10"/>
  <c r="E30" i="10" s="1"/>
  <c r="D29" i="10"/>
  <c r="E29" i="10" s="1"/>
  <c r="D28" i="10"/>
  <c r="E28" i="10" s="1"/>
  <c r="D27" i="10"/>
  <c r="E27" i="10" s="1"/>
  <c r="D26" i="10"/>
  <c r="E26" i="10" s="1"/>
  <c r="D25" i="10"/>
  <c r="E25" i="10" s="1"/>
  <c r="D24" i="10"/>
  <c r="E24" i="10" s="1"/>
  <c r="D23" i="10"/>
  <c r="E23" i="10" s="1"/>
  <c r="D22" i="10"/>
  <c r="E22" i="10" s="1"/>
  <c r="D21" i="10"/>
  <c r="E21" i="10" s="1"/>
  <c r="D20" i="10"/>
  <c r="E20" i="10" s="1"/>
  <c r="D19" i="10"/>
  <c r="E19" i="10" s="1"/>
  <c r="D18" i="10"/>
  <c r="E18" i="10" s="1"/>
  <c r="D17" i="10"/>
  <c r="E17" i="10" s="1"/>
  <c r="D16" i="10"/>
  <c r="E16" i="10" s="1"/>
  <c r="D15" i="10"/>
  <c r="E15" i="10" s="1"/>
  <c r="D14" i="10"/>
  <c r="E14" i="10" s="1"/>
  <c r="D13" i="10"/>
  <c r="E13" i="10" s="1"/>
  <c r="D12" i="10"/>
  <c r="E12" i="10" s="1"/>
  <c r="D11" i="10"/>
  <c r="E11" i="10" s="1"/>
  <c r="D10" i="10"/>
  <c r="E10" i="10" s="1"/>
  <c r="D9" i="10"/>
  <c r="E9" i="10" s="1"/>
  <c r="D8" i="10"/>
  <c r="E8" i="10" s="1"/>
  <c r="D7" i="10"/>
  <c r="E7" i="10" s="1"/>
  <c r="D6" i="10"/>
  <c r="E6" i="10" s="1"/>
  <c r="D5" i="10"/>
  <c r="E5" i="10" s="1"/>
  <c r="D4" i="10"/>
  <c r="E4" i="10" s="1"/>
  <c r="D3" i="10"/>
  <c r="E3" i="10" s="1"/>
  <c r="D2" i="10"/>
  <c r="E2" i="10" s="1"/>
  <c r="E49" i="1"/>
  <c r="C53" i="1" s="1"/>
  <c r="C63" i="1"/>
  <c r="C62" i="1"/>
  <c r="C61" i="1"/>
  <c r="C60" i="1"/>
  <c r="C59" i="1"/>
  <c r="C58" i="1"/>
  <c r="D109" i="10"/>
  <c r="E109" i="10" s="1"/>
  <c r="F15" i="9"/>
  <c r="D116" i="10" s="1"/>
  <c r="F14" i="9"/>
  <c r="D115" i="10" s="1"/>
  <c r="F13" i="9"/>
  <c r="D114" i="10" s="1"/>
  <c r="D129" i="10"/>
  <c r="D143" i="10"/>
  <c r="D118" i="10"/>
  <c r="E118" i="10" s="1"/>
  <c r="C57" i="1"/>
  <c r="C54" i="1"/>
  <c r="C44" i="1"/>
  <c r="C43" i="1"/>
  <c r="C42" i="1"/>
  <c r="C41" i="1"/>
  <c r="C40" i="1"/>
  <c r="D119" i="10"/>
  <c r="E119" i="10" s="1"/>
  <c r="C51" i="1" l="1"/>
  <c r="C50" i="1"/>
  <c r="C52" i="1"/>
  <c r="F12" i="9"/>
  <c r="D113" i="10" s="1"/>
  <c r="D5" i="3"/>
  <c r="D6" i="3"/>
  <c r="C4" i="3"/>
  <c r="D3" i="3"/>
  <c r="C3" i="3"/>
  <c r="D4" i="3"/>
  <c r="C5" i="3"/>
  <c r="C6" i="3"/>
  <c r="E3" i="3" l="1"/>
  <c r="E4" i="3"/>
  <c r="E6" i="3"/>
  <c r="E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Chandler Miller</author>
  </authors>
  <commentList>
    <comment ref="C22" authorId="0" shapeId="0" xr:uid="{00000000-0006-0000-0300-000001000000}">
      <text>
        <r>
          <rPr>
            <sz val="9"/>
            <color indexed="81"/>
            <rFont val="Tahoma"/>
            <family val="2"/>
          </rPr>
          <t>Notes shown when hovering over cell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Reviewer</author>
    <author>Chandler Miller</author>
  </authors>
  <commentList>
    <comment ref="B15" authorId="0" shapeId="0" xr:uid="{00000000-0006-0000-0500-000001000000}">
      <text>
        <r>
          <rPr>
            <sz val="9"/>
            <color indexed="81"/>
            <rFont val="Tahoma"/>
            <family val="2"/>
          </rPr>
          <t>Specify Interconnection Point line or substation name</t>
        </r>
      </text>
    </comment>
    <comment ref="B79" authorId="1" shapeId="0" xr:uid="{00000000-0006-0000-0500-000002000000}">
      <text>
        <r>
          <rPr>
            <sz val="9"/>
            <color indexed="81"/>
            <rFont val="Tahoma"/>
            <family val="2"/>
          </rPr>
          <t xml:space="preserve">Please provide additional equipment  information for key balance of systems components, including thermal management, enclosures, and reclosers.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Chandler Miller</author>
    <author>Reviewer</author>
  </authors>
  <commentList>
    <comment ref="B6" authorId="0" shapeId="0" xr:uid="{00000000-0006-0000-0700-000001000000}">
      <text>
        <r>
          <rPr>
            <sz val="9"/>
            <color indexed="81"/>
            <rFont val="Tahoma"/>
            <family val="2"/>
          </rPr>
          <t>All project costs should be fully incorporated into the Bidder's Offer Price. NYSEG and RG&amp;E will use the below information to ensure these costs have been included.</t>
        </r>
      </text>
    </comment>
    <comment ref="B12" authorId="0" shapeId="0" xr:uid="{00000000-0006-0000-0700-000002000000}">
      <text>
        <r>
          <rPr>
            <sz val="9"/>
            <color indexed="81"/>
            <rFont val="Tahoma"/>
            <family val="2"/>
          </rPr>
          <t>Battery Modules, inverter, containerization, controller, power control, HVAC system, meter, insulation, and other components. Excludes upgrades required for permitting or interconnection approval.</t>
        </r>
      </text>
    </comment>
    <comment ref="B13" authorId="0" shapeId="0" xr:uid="{00000000-0006-0000-0700-000003000000}">
      <text>
        <r>
          <rPr>
            <sz val="9"/>
            <color indexed="81"/>
            <rFont val="Tahoma"/>
            <family val="2"/>
          </rPr>
          <t>Design, site preparation/survey, transportation, Professional Engineer approval, testing, electrician and installation labor, wiring, fencing, testing, commissioning, and enrollment in energy markets. Excludes upgrades required for permitting or interconnection approval.</t>
        </r>
      </text>
    </comment>
    <comment ref="B14" authorId="0" shapeId="0" xr:uid="{00000000-0006-0000-0700-000004000000}">
      <text>
        <r>
          <rPr>
            <sz val="9"/>
            <color indexed="81"/>
            <rFont val="Tahoma"/>
            <family val="2"/>
          </rPr>
          <t>Application fees, responding to requests for additional information, and unique safety protection required from Governmental Authorities. (Defined in Exhibit A of Energy Storage Services Agreement)</t>
        </r>
      </text>
    </comment>
    <comment ref="B15" authorId="0" shapeId="0" xr:uid="{00000000-0006-0000-0700-000005000000}">
      <text>
        <r>
          <rPr>
            <sz val="9"/>
            <color indexed="81"/>
            <rFont val="Tahoma"/>
            <family val="2"/>
          </rPr>
          <t>Application and required upgrades, studies cost.</t>
        </r>
      </text>
    </comment>
    <comment ref="B18" authorId="0" shapeId="0" xr:uid="{00000000-0006-0000-0700-000006000000}">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19" authorId="0" shapeId="0" xr:uid="{00000000-0006-0000-0700-000007000000}">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0" authorId="0" shapeId="0" xr:uid="{00000000-0006-0000-0700-000008000000}">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1" authorId="0" shapeId="0" xr:uid="{00000000-0006-0000-0700-000009000000}">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2" authorId="0" shapeId="0" xr:uid="{00000000-0006-0000-0700-00000A000000}">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3" authorId="0" shapeId="0" xr:uid="{00000000-0006-0000-0700-00000B000000}">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4" authorId="0" shapeId="0" xr:uid="{00000000-0006-0000-0700-00000C000000}">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5" authorId="0" shapeId="0" xr:uid="{064281DF-4299-4284-B0A3-F26337052770}">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6" authorId="0" shapeId="0" xr:uid="{85030D3A-3C57-42D6-BBE6-E93C21AE6737}">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7" authorId="0" shapeId="0" xr:uid="{992E7734-1CEB-4712-9965-7BD985B2F9CB}">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8" authorId="0" shapeId="0" xr:uid="{EC903562-F5F5-49C9-A940-E2076B5BFD0D}">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29" authorId="0" shapeId="0" xr:uid="{4D04F6D6-29A5-455E-9A17-B3955419C3C6}">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30" authorId="0" shapeId="0" xr:uid="{F4DBAA10-EC66-4040-B039-589879BDF7CB}">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31" authorId="0" shapeId="0" xr:uid="{CC73E117-2517-47D0-880B-1ECAE9FA51CF}">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32" authorId="0" shapeId="0" xr:uid="{40FE12C0-75F1-47F9-A71F-CB5154B03AA2}">
      <text>
        <r>
          <rPr>
            <sz val="9"/>
            <color indexed="81"/>
            <rFont val="Tahoma"/>
            <family val="2"/>
          </rPr>
          <t>Reflects applicable charges to Bidder for asset O&amp;M costs, including regular maintenance, equipment warranties, and storage augmentation, as necessary. Bidder is responsible for all utility charges during the contract period.</t>
        </r>
      </text>
    </comment>
    <comment ref="B34" authorId="0" shapeId="0" xr:uid="{00000000-0006-0000-0700-00000D000000}">
      <text>
        <r>
          <rPr>
            <sz val="9"/>
            <color indexed="81"/>
            <rFont val="Tahoma"/>
            <family val="2"/>
          </rPr>
          <t>Reflects applicable rates and charges as applied to electricity costs for Station Use. Please see the ESSA and RFP for Bidder payment responsibilities.</t>
        </r>
      </text>
    </comment>
    <comment ref="B35" authorId="1" shapeId="0" xr:uid="{00000000-0006-0000-0700-00000E000000}">
      <text>
        <r>
          <rPr>
            <sz val="9"/>
            <color indexed="81"/>
            <rFont val="Tahoma"/>
            <family val="2"/>
          </rPr>
          <t xml:space="preserve">Reflects applicable rates and charges as applied to distribution-connected facilities pursuant to NYPSC-approved tariffs.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Chandler Miller</author>
    <author>Reviewer</author>
  </authors>
  <commentList>
    <comment ref="B15" authorId="0" shapeId="0" xr:uid="{00000000-0006-0000-0600-000001000000}">
      <text>
        <r>
          <rPr>
            <sz val="9"/>
            <color indexed="81"/>
            <rFont val="Tahoma"/>
            <family val="2"/>
          </rPr>
          <t>Matches value in "Project Information" tab</t>
        </r>
      </text>
    </comment>
    <comment ref="B16" authorId="0" shapeId="0" xr:uid="{00000000-0006-0000-0600-000002000000}">
      <text>
        <r>
          <rPr>
            <sz val="9"/>
            <color indexed="81"/>
            <rFont val="Tahoma"/>
            <family val="2"/>
          </rPr>
          <t>Matches value in "Project Information" tab</t>
        </r>
      </text>
    </comment>
    <comment ref="B17" authorId="0" shapeId="0" xr:uid="{00000000-0006-0000-0600-000003000000}">
      <text>
        <r>
          <rPr>
            <sz val="9"/>
            <color indexed="81"/>
            <rFont val="Tahoma"/>
            <family val="2"/>
          </rPr>
          <t>The MWs that can be continuously dispatched by the storage system and measured as described in the Storage Rating Test Exhibit to the Energy Storage Services Agreement.</t>
        </r>
      </text>
    </comment>
    <comment ref="B18" authorId="0" shapeId="0" xr:uid="{00000000-0006-0000-0600-000004000000}">
      <text>
        <r>
          <rPr>
            <sz val="9"/>
            <color indexed="81"/>
            <rFont val="Tahoma"/>
            <family val="2"/>
          </rPr>
          <t>As defined in Exhibit A of the Energy Storage Services agreement</t>
        </r>
      </text>
    </comment>
    <comment ref="B19" authorId="0" shapeId="0" xr:uid="{00000000-0006-0000-0600-000005000000}">
      <text>
        <r>
          <rPr>
            <sz val="9"/>
            <color indexed="81"/>
            <rFont val="Tahoma"/>
            <family val="2"/>
          </rPr>
          <t>As defined in Exhibit A of the Energy Storage Services Agreement</t>
        </r>
      </text>
    </comment>
    <comment ref="B21" authorId="0" shapeId="0" xr:uid="{00000000-0006-0000-0600-000006000000}">
      <text>
        <r>
          <rPr>
            <sz val="9"/>
            <color indexed="81"/>
            <rFont val="Tahoma"/>
            <family val="2"/>
          </rPr>
          <t>Represents the maximum warrantied MW quantity that a resource using the participation model for electric storage resources can inject into the grid</t>
        </r>
      </text>
    </comment>
    <comment ref="B22" authorId="0" shapeId="0" xr:uid="{00000000-0006-0000-0600-000007000000}">
      <text>
        <r>
          <rPr>
            <sz val="9"/>
            <color indexed="81"/>
            <rFont val="Tahoma"/>
            <family val="2"/>
          </rPr>
          <t>The minimum warrantied MW output level that a resource using the participation model for electric storage resources can inject into the grid.</t>
        </r>
      </text>
    </comment>
    <comment ref="B25" authorId="0" shapeId="0" xr:uid="{00000000-0006-0000-0600-000008000000}">
      <text>
        <r>
          <rPr>
            <sz val="9"/>
            <color indexed="81"/>
            <rFont val="Tahoma"/>
            <family val="2"/>
          </rPr>
          <t>Represents the maximum warrantied MW quantity that a resource using the participation model for electric storage resources can receive from the grid.</t>
        </r>
      </text>
    </comment>
    <comment ref="B26" authorId="0" shapeId="0" xr:uid="{00000000-0006-0000-0600-000009000000}">
      <text>
        <r>
          <rPr>
            <sz val="9"/>
            <color indexed="81"/>
            <rFont val="Tahoma"/>
            <family val="2"/>
          </rPr>
          <t>The minimum warrantied MW level that a resource using the NYISO participation model for electric storage resources can receive from the grid.</t>
        </r>
      </text>
    </comment>
    <comment ref="B29" authorId="1" shapeId="0" xr:uid="{00000000-0006-0000-0600-00000A000000}">
      <text>
        <r>
          <rPr>
            <sz val="9"/>
            <color indexed="81"/>
            <rFont val="Tahoma"/>
            <family val="2"/>
          </rPr>
          <t>As defined in Exhibit A of the Energy Storage Services Agreement</t>
        </r>
      </text>
    </comment>
    <comment ref="B30" authorId="1" shapeId="0" xr:uid="{00000000-0006-0000-0600-00000B000000}">
      <text>
        <r>
          <rPr>
            <sz val="9"/>
            <color indexed="81"/>
            <rFont val="Tahoma"/>
            <family val="2"/>
          </rPr>
          <t>As defined in Exhibit A of the Energy Storage Services Agreement</t>
        </r>
      </text>
    </comment>
    <comment ref="B33" authorId="0" shapeId="0" xr:uid="{00000000-0006-0000-0600-00000C000000}">
      <text>
        <r>
          <rPr>
            <sz val="9"/>
            <color indexed="81"/>
            <rFont val="Tahoma"/>
            <family val="2"/>
          </rPr>
          <t>As defined in Exhibit C "Storage Ratings Test" of the Energy Storage Services Agreement</t>
        </r>
      </text>
    </comment>
    <comment ref="B34" authorId="1" shapeId="0" xr:uid="{00000000-0006-0000-0600-00000D000000}">
      <text>
        <r>
          <rPr>
            <sz val="9"/>
            <color indexed="81"/>
            <rFont val="Tahoma"/>
            <family val="2"/>
          </rPr>
          <t>The rate of stored energy lost when the asset is not receiving a dispatch signal</t>
        </r>
      </text>
    </comment>
    <comment ref="B49" authorId="0" shapeId="0" xr:uid="{00000000-0006-0000-0600-00000F000000}">
      <text>
        <r>
          <rPr>
            <sz val="9"/>
            <color indexed="81"/>
            <rFont val="Tahoma"/>
            <family val="2"/>
          </rPr>
          <t>The rate at which the storage system can move from its Minimum Allowable Discharge Rate to its Maximum Allowable Discharge Rate, measured as described in the Storage Rating Test Exhibit to the Storage Agreement (Appendix D1/D2).</t>
        </r>
      </text>
    </comment>
    <comment ref="B50" authorId="1" shapeId="0" xr:uid="{00000000-0006-0000-0600-000010000000}">
      <text>
        <r>
          <rPr>
            <sz val="9"/>
            <color indexed="81"/>
            <rFont val="Tahoma"/>
            <family val="2"/>
          </rPr>
          <t>The rate at which the storage system can move from its Maximum Allowable Discharge Rate, measured as described in the Storage Rating Test Exhibit to the Storage Agreement (Appendix D1/D2), to its Minimum Allowable Discharge Rate</t>
        </r>
      </text>
    </comment>
    <comment ref="B51" authorId="1" shapeId="0" xr:uid="{00000000-0006-0000-0600-000011000000}">
      <text>
        <r>
          <rPr>
            <sz val="9"/>
            <color indexed="81"/>
            <rFont val="Tahoma"/>
            <family val="2"/>
          </rPr>
          <t xml:space="preserve">The rate at which a storage system can move from its Maximum Allowable Charge Rate to its Minimum Allowable Charge Rate, measured as described in the Storage Rating Test Exhibit to the Storage Agreement (Appendix D1/D2).
</t>
        </r>
      </text>
    </comment>
    <comment ref="B52" authorId="0" shapeId="0" xr:uid="{00000000-0006-0000-0600-000012000000}">
      <text>
        <r>
          <rPr>
            <sz val="9"/>
            <color indexed="81"/>
            <rFont val="Tahoma"/>
            <family val="2"/>
          </rPr>
          <t>The rate at which a storage system can move from its Minimum Allowable Charge Rate to its Maximum Allowable Charge Rate, measured as described in the Storage Rating Test Exhibit to the Storage Agreement (Appendix D1/D2).</t>
        </r>
      </text>
    </comment>
    <comment ref="B57" authorId="1" shapeId="0" xr:uid="{00000000-0006-0000-0600-000013000000}">
      <text>
        <r>
          <rPr>
            <sz val="9"/>
            <color indexed="81"/>
            <rFont val="Tahoma"/>
            <family val="2"/>
          </rPr>
          <t xml:space="preserve">The sequence of injecting electric energy into a battery then withdrawing electric energy from a battery, where one cycle is the charge and discharge of a battery’s total useable energy storage capability.
</t>
        </r>
      </text>
    </comment>
    <comment ref="B70" authorId="0" shapeId="0" xr:uid="{00000000-0006-0000-0600-000014000000}">
      <text>
        <r>
          <rPr>
            <sz val="9"/>
            <color indexed="81"/>
            <rFont val="Tahoma"/>
            <family val="2"/>
          </rPr>
          <t>The expected total amount of energy (in MWh) stored by the Energy Storage Resource at the beginning of the Day-Ahead Market day or a Real-Time Market interval.</t>
        </r>
      </text>
    </comment>
  </commentList>
</comments>
</file>

<file path=xl/sharedStrings.xml><?xml version="1.0" encoding="utf-8"?>
<sst xmlns="http://schemas.openxmlformats.org/spreadsheetml/2006/main" count="2423" uniqueCount="1386">
  <si>
    <t>Section</t>
  </si>
  <si>
    <t>Field</t>
  </si>
  <si>
    <t>Cell Name</t>
  </si>
  <si>
    <t>Value</t>
  </si>
  <si>
    <t>Status</t>
  </si>
  <si>
    <t>Bidder Information</t>
  </si>
  <si>
    <t>Bidder Counterparty/ Legal Entity Name</t>
  </si>
  <si>
    <t>Part_pi_1</t>
  </si>
  <si>
    <t>Bidder Street Address</t>
  </si>
  <si>
    <t>Part_pi_2</t>
  </si>
  <si>
    <t>Bidder City</t>
  </si>
  <si>
    <t>Part_pi_3</t>
  </si>
  <si>
    <t>Bidder State</t>
  </si>
  <si>
    <t>Part_pi_4</t>
  </si>
  <si>
    <t>Bidder Country</t>
  </si>
  <si>
    <t>Part_pi_5</t>
  </si>
  <si>
    <t>Bidder Website</t>
  </si>
  <si>
    <t>Part_pi_6</t>
  </si>
  <si>
    <t>Bidder Zip Code</t>
  </si>
  <si>
    <t>Part_pi_7</t>
  </si>
  <si>
    <t>Pre-exisiting contract with utility or affiliates?</t>
  </si>
  <si>
    <t>Part_pi_8</t>
  </si>
  <si>
    <t xml:space="preserve">Contact 1 - First Name </t>
  </si>
  <si>
    <t>Part_pi_9</t>
  </si>
  <si>
    <t xml:space="preserve">Contact 1 - Last Name </t>
  </si>
  <si>
    <t>Part_pi_10</t>
  </si>
  <si>
    <t xml:space="preserve">Contact 1 - Title </t>
  </si>
  <si>
    <t>Part_pi_11</t>
  </si>
  <si>
    <t xml:space="preserve">Contact 1 - Phone 1 </t>
  </si>
  <si>
    <t>Part_pi_12</t>
  </si>
  <si>
    <t xml:space="preserve">Contact 1 - Phone 2 </t>
  </si>
  <si>
    <t>Part_pi_13</t>
  </si>
  <si>
    <t xml:space="preserve">Contact 1 - Email </t>
  </si>
  <si>
    <t>Part_pi_14</t>
  </si>
  <si>
    <t xml:space="preserve">Contact 2 - First Name </t>
  </si>
  <si>
    <t>Part_pi_15</t>
  </si>
  <si>
    <t xml:space="preserve">Contact 2 - Last Name </t>
  </si>
  <si>
    <t>Part_pi_16</t>
  </si>
  <si>
    <t xml:space="preserve">Contact 2 - Title </t>
  </si>
  <si>
    <t>Part_pi_17</t>
  </si>
  <si>
    <t xml:space="preserve">Contact 2 - Phone 1 </t>
  </si>
  <si>
    <t>Part_pi_18</t>
  </si>
  <si>
    <t xml:space="preserve">Contact 2 - Phone 2 </t>
  </si>
  <si>
    <t>Part_pi_19</t>
  </si>
  <si>
    <t xml:space="preserve">Contact 2 - Email </t>
  </si>
  <si>
    <t>Part_pi_20</t>
  </si>
  <si>
    <t>Developer Name</t>
  </si>
  <si>
    <t>Part_pd_1</t>
  </si>
  <si>
    <t>Developer Street Address</t>
  </si>
  <si>
    <t>Part_pd_2</t>
  </si>
  <si>
    <t>Developer City</t>
  </si>
  <si>
    <t>Part_pd_3</t>
  </si>
  <si>
    <t>Developer State</t>
  </si>
  <si>
    <t>Part_pd_4</t>
  </si>
  <si>
    <t>Developer Country</t>
  </si>
  <si>
    <t>Part_pd_5</t>
  </si>
  <si>
    <t>Developer Website</t>
  </si>
  <si>
    <t>Part_pd_6</t>
  </si>
  <si>
    <t>Part_pd_7</t>
  </si>
  <si>
    <t>Developer Zip Code</t>
  </si>
  <si>
    <t>Part_pd_8</t>
  </si>
  <si>
    <t>Consolidated Edison, Inc ownership</t>
  </si>
  <si>
    <t>Part_part_1</t>
  </si>
  <si>
    <t>NYSERDA ownership</t>
  </si>
  <si>
    <t>Part_part_2</t>
  </si>
  <si>
    <t>Affiliates of any of the above</t>
  </si>
  <si>
    <t>Part_part_3</t>
  </si>
  <si>
    <t>Owner of Bidder Entity Name 1</t>
  </si>
  <si>
    <t>Part_own_1</t>
  </si>
  <si>
    <t>Owner of Bidder Entity Ownership 1</t>
  </si>
  <si>
    <t>Part_own_2</t>
  </si>
  <si>
    <t>Owner of Bidder Entity URL 1</t>
  </si>
  <si>
    <t>Part_own_3</t>
  </si>
  <si>
    <t>Owner of Bidder Entity Name 2</t>
  </si>
  <si>
    <t>Part_own_4</t>
  </si>
  <si>
    <t>Owner of Bidder Entity Ownership 2</t>
  </si>
  <si>
    <t>Part_own_5</t>
  </si>
  <si>
    <t>Owner of Bidder Entity URL 2</t>
  </si>
  <si>
    <t>Part_own_6</t>
  </si>
  <si>
    <t>Owner of Bidder Entity Name 3</t>
  </si>
  <si>
    <t>Part_own_7</t>
  </si>
  <si>
    <t>Owner of Bidder Entity Ownership 3</t>
  </si>
  <si>
    <t>Part_own_8</t>
  </si>
  <si>
    <t>Owner of Bidder Entity URL 3</t>
  </si>
  <si>
    <t>Part_own_9</t>
  </si>
  <si>
    <t>Owner of Bidder Entity Name 4</t>
  </si>
  <si>
    <t>Part_own_10</t>
  </si>
  <si>
    <t>Owner of Bidder Entity Ownership 4</t>
  </si>
  <si>
    <t>Part_own_11</t>
  </si>
  <si>
    <t>Owner of Bidder Entity URL 4</t>
  </si>
  <si>
    <t>Part_own_12</t>
  </si>
  <si>
    <t>Owner of Bidder Entity Name 5</t>
  </si>
  <si>
    <t>Part_own_13</t>
  </si>
  <si>
    <t>Owner of Bidder Entity Ownership 5</t>
  </si>
  <si>
    <t>Part_own_14</t>
  </si>
  <si>
    <t>Owner of Bidder Entity URL 5</t>
  </si>
  <si>
    <t>Part_own_15</t>
  </si>
  <si>
    <t>Electronic Signature Acknowledgment</t>
  </si>
  <si>
    <t>Part_sig_1</t>
  </si>
  <si>
    <t>Title Acknowledgment</t>
  </si>
  <si>
    <t>Part_sig_2</t>
  </si>
  <si>
    <t>Confirmation Acknowledgment</t>
  </si>
  <si>
    <t>Part_sig_3</t>
  </si>
  <si>
    <t>Electronic Signature Authorization</t>
  </si>
  <si>
    <t>Part_sig_4</t>
  </si>
  <si>
    <t>Title Authorization</t>
  </si>
  <si>
    <t>Part_sig_5</t>
  </si>
  <si>
    <t>Confirmation Authorization</t>
  </si>
  <si>
    <t>Part_sig_6</t>
  </si>
  <si>
    <t>Electronic Signature Attestation</t>
  </si>
  <si>
    <t>Part_sig_7</t>
  </si>
  <si>
    <t>Title Attestation</t>
  </si>
  <si>
    <t>Part_sig_8</t>
  </si>
  <si>
    <t>Confirmation Attestation</t>
  </si>
  <si>
    <t>Part_sig_9</t>
  </si>
  <si>
    <t>Project Information</t>
  </si>
  <si>
    <t>Legal Project Name</t>
  </si>
  <si>
    <t>Proj_pi_1</t>
  </si>
  <si>
    <t>Project Street Address</t>
  </si>
  <si>
    <t>Proj_pi_2</t>
  </si>
  <si>
    <t>Project State</t>
  </si>
  <si>
    <t>Proj_pi_3</t>
  </si>
  <si>
    <t>Project City</t>
  </si>
  <si>
    <t>Proj_pi_4</t>
  </si>
  <si>
    <t>Project Latitude</t>
  </si>
  <si>
    <t>Proj_pi_5</t>
  </si>
  <si>
    <t>Project Zip Code</t>
  </si>
  <si>
    <t>Proj_pi_6</t>
  </si>
  <si>
    <t>Project Longitude</t>
  </si>
  <si>
    <t>Proj_pi_7</t>
  </si>
  <si>
    <t>Interconnecting Utility</t>
  </si>
  <si>
    <t>Proj_pi_8</t>
  </si>
  <si>
    <t>Site Control</t>
  </si>
  <si>
    <t>Proj_pi_9</t>
  </si>
  <si>
    <t>Is project to be co-located with existing generation?</t>
  </si>
  <si>
    <t>Proj_pi_10</t>
  </si>
  <si>
    <t>Permitting</t>
  </si>
  <si>
    <t>Proj_pi_11</t>
  </si>
  <si>
    <t>Expected Commercial Operations Date (COD)</t>
  </si>
  <si>
    <t>Proj_pi_12</t>
  </si>
  <si>
    <t>Expected Interconnection Approval Date</t>
  </si>
  <si>
    <t>Proj_pi_loadarea</t>
  </si>
  <si>
    <t>Interconnection Point</t>
  </si>
  <si>
    <t>Proj_pi_poi</t>
  </si>
  <si>
    <t>Interconnection Voltage (kV)</t>
  </si>
  <si>
    <t>Proj_pi_iv</t>
  </si>
  <si>
    <t>Interconnection Queue Number</t>
  </si>
  <si>
    <t>Proj_pi_iqn</t>
  </si>
  <si>
    <t>Storage Method</t>
  </si>
  <si>
    <t>Proj_ts_1</t>
  </si>
  <si>
    <t>Storage Technology</t>
  </si>
  <si>
    <t>Proj_ts_2</t>
  </si>
  <si>
    <t>Specific Storage Technology</t>
  </si>
  <si>
    <t>Proj_ts_3</t>
  </si>
  <si>
    <t>Lithium-Ion Battery Chemistry</t>
  </si>
  <si>
    <t>Proj_ts_4</t>
  </si>
  <si>
    <t>Other Method</t>
  </si>
  <si>
    <t>Proj_ts_5</t>
  </si>
  <si>
    <t>Other Technology</t>
  </si>
  <si>
    <t>Proj_ts_6</t>
  </si>
  <si>
    <t>Other Sub-Technology</t>
  </si>
  <si>
    <t>Proj_ts_7</t>
  </si>
  <si>
    <t>Other Chemistry</t>
  </si>
  <si>
    <t>Proj_ts_8</t>
  </si>
  <si>
    <t>Nameplate Capacity (MW)</t>
  </si>
  <si>
    <t>Proj_ts_9</t>
  </si>
  <si>
    <t>Nameplate Capacity (MWh)</t>
  </si>
  <si>
    <t>Proj_ts_10</t>
  </si>
  <si>
    <t>Cycle Life (Cycles)</t>
  </si>
  <si>
    <t>Proj_ts_11</t>
  </si>
  <si>
    <t>Expected Capacity Degradation per Year (% of MW)</t>
  </si>
  <si>
    <t>Proj_ts_12</t>
  </si>
  <si>
    <t>Expected Capacity Degradation per Year (% of MWh)</t>
  </si>
  <si>
    <t>Proj_ts_13</t>
  </si>
  <si>
    <t>Storage Module Manufacturer</t>
  </si>
  <si>
    <t>Proj_es_1</t>
  </si>
  <si>
    <t>Storage Module Model</t>
  </si>
  <si>
    <t>Proj_es_2</t>
  </si>
  <si>
    <t>Power Conversion System Manufacturer</t>
  </si>
  <si>
    <t>Proj_es_3</t>
  </si>
  <si>
    <t>Power Conversion System Model</t>
  </si>
  <si>
    <t>Proj_es_4</t>
  </si>
  <si>
    <t>RGM Manufacturer</t>
  </si>
  <si>
    <t>Proj_es_5</t>
  </si>
  <si>
    <t>RGM Model</t>
  </si>
  <si>
    <t>Proj_es_6</t>
  </si>
  <si>
    <t>Controller Manufacturer</t>
  </si>
  <si>
    <t>Proj_es_7</t>
  </si>
  <si>
    <t>Controller Model</t>
  </si>
  <si>
    <t>Proj_es_8</t>
  </si>
  <si>
    <t>Equipment 1</t>
  </si>
  <si>
    <t>Proj_es_9</t>
  </si>
  <si>
    <t>Manufacturer 1</t>
  </si>
  <si>
    <t>Proj_es_10</t>
  </si>
  <si>
    <t>Model 1</t>
  </si>
  <si>
    <t>Proj_es_11</t>
  </si>
  <si>
    <t>Equipment 2</t>
  </si>
  <si>
    <t>Proj_es_12</t>
  </si>
  <si>
    <t>Manufacturer 2</t>
  </si>
  <si>
    <t>Proj_es_13</t>
  </si>
  <si>
    <t>Model 2</t>
  </si>
  <si>
    <t>Proj_es_14</t>
  </si>
  <si>
    <t>Equipment 3</t>
  </si>
  <si>
    <t>Proj_es_15</t>
  </si>
  <si>
    <t>Manufacturer 3</t>
  </si>
  <si>
    <t>Proj_es_16</t>
  </si>
  <si>
    <t>Model 3</t>
  </si>
  <si>
    <t>Proj_es_17</t>
  </si>
  <si>
    <t>Equipment 4</t>
  </si>
  <si>
    <t>Proj_es_18</t>
  </si>
  <si>
    <t>Manufacturer 4</t>
  </si>
  <si>
    <t>Proj_es_19</t>
  </si>
  <si>
    <t>Model 4</t>
  </si>
  <si>
    <t>Proj_es_20</t>
  </si>
  <si>
    <t>Project Cost and Offer Price</t>
  </si>
  <si>
    <t>Storage Module ($)</t>
  </si>
  <si>
    <t>PCOP_sm</t>
  </si>
  <si>
    <t>Power Conversion System ($)</t>
  </si>
  <si>
    <t>PCOP_pcs</t>
  </si>
  <si>
    <t>Balance of System ($)</t>
  </si>
  <si>
    <t>PCOP_bos</t>
  </si>
  <si>
    <t>TOTAL Hardware Cost ($)</t>
  </si>
  <si>
    <t>PCOP_tot</t>
  </si>
  <si>
    <t>Engineering, Procurement, Construction ($)</t>
  </si>
  <si>
    <t>PCOP_epc</t>
  </si>
  <si>
    <t>Permitting and Siting ($)</t>
  </si>
  <si>
    <t>PCOP_ps</t>
  </si>
  <si>
    <t>Estimated Interconnection Cost ($)</t>
  </si>
  <si>
    <t>PCOP_eic</t>
  </si>
  <si>
    <t>Hardware Percent of Total(%)</t>
  </si>
  <si>
    <t>PCOP_totp</t>
  </si>
  <si>
    <t>EPC Percent of Total (%)</t>
  </si>
  <si>
    <t>PCOP_epcp</t>
  </si>
  <si>
    <t>Permitting and Siting Percent of Total (%)</t>
  </si>
  <si>
    <t>PCOP_psp</t>
  </si>
  <si>
    <t>Interconnection Percent of Total (%)</t>
  </si>
  <si>
    <t>PCOP_eicp</t>
  </si>
  <si>
    <t>Offer Price ($)</t>
  </si>
  <si>
    <t>PCOP_trf</t>
  </si>
  <si>
    <t>Initial Payment ($)</t>
  </si>
  <si>
    <t>PCOP_y1pay</t>
  </si>
  <si>
    <t>Years 1-7 Payments ($)</t>
  </si>
  <si>
    <t>PCOP_y27pay</t>
  </si>
  <si>
    <t>Annual O&amp;M (Avg. $/year) Year 1</t>
  </si>
  <si>
    <t>PCOP_fom</t>
  </si>
  <si>
    <t>Annual O&amp;M (Avg. $/year) Year 2</t>
  </si>
  <si>
    <t>PCOP_fom_2</t>
  </si>
  <si>
    <t>Annual O&amp;M (Avg. $/year) Year 3</t>
  </si>
  <si>
    <t>PCOP_fom_3</t>
  </si>
  <si>
    <t>Annual O&amp;M (Avg. $/year) Year 4</t>
  </si>
  <si>
    <t>PCOP_fom_4</t>
  </si>
  <si>
    <t>Annual O&amp;M (Avg. $/year) Year 5</t>
  </si>
  <si>
    <t>PCOP_fom_5</t>
  </si>
  <si>
    <t>Annual O&amp;M (Avg. $/year) Year 6</t>
  </si>
  <si>
    <t>PCOP_fom_6</t>
  </si>
  <si>
    <t>Annual O&amp;M (Avg. $/year) Year 7</t>
  </si>
  <si>
    <t>PCOP_fom_7</t>
  </si>
  <si>
    <t>Anticipated Charges for Station Use (Avg. $/Year)</t>
  </si>
  <si>
    <t>PCOP_stationcharges</t>
  </si>
  <si>
    <t>Anticipated Charges for Charging (Avg. $/Year)</t>
  </si>
  <si>
    <t>PCOP_anncharges</t>
  </si>
  <si>
    <t>Operating Information</t>
  </si>
  <si>
    <t>Total Power Capacity</t>
  </si>
  <si>
    <t>OI_param_tpc</t>
  </si>
  <si>
    <t>Total Power Capacity Seasonal Variation</t>
  </si>
  <si>
    <t>OI_param_tpc_var</t>
  </si>
  <si>
    <t>Total Power Capacity Jan</t>
  </si>
  <si>
    <t>OI_param_tpc_Jan</t>
  </si>
  <si>
    <t>Total Power Capacity Feb</t>
  </si>
  <si>
    <t>OI_param_tpc_Feb</t>
  </si>
  <si>
    <t>Total Power Capacity Mar</t>
  </si>
  <si>
    <t>OI_param_tpc_Mar</t>
  </si>
  <si>
    <t>Total Power Capacity Apr</t>
  </si>
  <si>
    <t>OI_param_tpc_Apr</t>
  </si>
  <si>
    <t>Total Power Capacity May</t>
  </si>
  <si>
    <t>OI_param_tpc_May</t>
  </si>
  <si>
    <t>Total Power Capacity Jun</t>
  </si>
  <si>
    <t>OI_param_tpc_Jun</t>
  </si>
  <si>
    <t>Total Power Capacity Jul</t>
  </si>
  <si>
    <t>OI_param_tpc_Jul</t>
  </si>
  <si>
    <t>Total Power Capacity Aug</t>
  </si>
  <si>
    <t>OI_param_tpc_Aug</t>
  </si>
  <si>
    <t>Total Power Capacity Sep</t>
  </si>
  <si>
    <t>OI_param_tpc_Sep</t>
  </si>
  <si>
    <t>Total Power Capacity Oct</t>
  </si>
  <si>
    <t>OI_param_tpc_Oct</t>
  </si>
  <si>
    <t>Total Power Capacity Nov</t>
  </si>
  <si>
    <t>OI_param_tpc_Nov</t>
  </si>
  <si>
    <t>Total Power Capacity Dec</t>
  </si>
  <si>
    <t>OI_param_tpc_Dec</t>
  </si>
  <si>
    <t>Total Energy Capacity</t>
  </si>
  <si>
    <t>OI_param_tec</t>
  </si>
  <si>
    <t>Total Energy Capacity Seasonal Variation</t>
  </si>
  <si>
    <t>OI_param_tec_var</t>
  </si>
  <si>
    <t>Total Energy Capacity Jan</t>
  </si>
  <si>
    <t>OI_param_tec_Jan</t>
  </si>
  <si>
    <t>Total Energy Capacity Feb</t>
  </si>
  <si>
    <t>OI_param_tec_Feb</t>
  </si>
  <si>
    <t>Total Energy Capacity Mar</t>
  </si>
  <si>
    <t>OI_param_tec_Mar</t>
  </si>
  <si>
    <t>Total Energy Capacity Apr</t>
  </si>
  <si>
    <t>OI_param_tec_Apr</t>
  </si>
  <si>
    <t>Total Energy Capacity May</t>
  </si>
  <si>
    <t>OI_param_tec_May</t>
  </si>
  <si>
    <t>Total Energy Capacity Jun</t>
  </si>
  <si>
    <t>OI_param_tec_Jun</t>
  </si>
  <si>
    <t>Total Energy Capacity Jul</t>
  </si>
  <si>
    <t>OI_param_tec_Jul</t>
  </si>
  <si>
    <t>Total Energy Capacity Aug</t>
  </si>
  <si>
    <t>OI_param_tec_Aug</t>
  </si>
  <si>
    <t>Total Energy Capacity Sep</t>
  </si>
  <si>
    <t>OI_param_tec_Sep</t>
  </si>
  <si>
    <t>Total Energy Capacity Oct</t>
  </si>
  <si>
    <t>OI_param_tec_Oct</t>
  </si>
  <si>
    <t>Total Energy Capacity Nov</t>
  </si>
  <si>
    <t>OI_param_tec_Nov</t>
  </si>
  <si>
    <t>Total Energy Capacity Dec</t>
  </si>
  <si>
    <t>OI_param_tec_Dec</t>
  </si>
  <si>
    <t>Total Dispatchable Capacity</t>
  </si>
  <si>
    <t>OI_param_tuc</t>
  </si>
  <si>
    <t>Total Dispatchable Capacity Seasonal Variation</t>
  </si>
  <si>
    <t>OI_param_tuc_var</t>
  </si>
  <si>
    <t>Total Dispatchable Capacity Jan</t>
  </si>
  <si>
    <t>OI_param_tuc_Jan</t>
  </si>
  <si>
    <t>Total Dispatchable Capacity Feb</t>
  </si>
  <si>
    <t>OI_param_tuc_Feb</t>
  </si>
  <si>
    <t>Total Dispatchable Capacity Mar</t>
  </si>
  <si>
    <t>OI_param_tuc_Mar</t>
  </si>
  <si>
    <t>Total Dispatchable Capacity Apr</t>
  </si>
  <si>
    <t>OI_param_tuc_Apr</t>
  </si>
  <si>
    <t>Total Dispatchable Capacity May</t>
  </si>
  <si>
    <t>OI_param_tuc_May</t>
  </si>
  <si>
    <t>Total Dispatchable Capacity Jun</t>
  </si>
  <si>
    <t>OI_param_tuc_Jun</t>
  </si>
  <si>
    <t>Total Dispatchable Capacity Jul</t>
  </si>
  <si>
    <t>OI_param_tuc_Jul</t>
  </si>
  <si>
    <t>Total Dispatchable Capacity Aug</t>
  </si>
  <si>
    <t>OI_param_tuc_Aug</t>
  </si>
  <si>
    <t>Total Dispatchable Capacity Sep</t>
  </si>
  <si>
    <t>OI_param_tuc_Sep</t>
  </si>
  <si>
    <t>Total Dispatchable Capacity Oct</t>
  </si>
  <si>
    <t>OI_param_tuc_Oct</t>
  </si>
  <si>
    <t>Total Dispatchable Capacity Nov</t>
  </si>
  <si>
    <t>OI_param_tuc_Nov</t>
  </si>
  <si>
    <t>Total Dispatchable Capacity Dec</t>
  </si>
  <si>
    <t>OI_param_tuc_Dec</t>
  </si>
  <si>
    <t>Maximum State of Charge (SoC_max)</t>
  </si>
  <si>
    <t>OI_param_maxsoc</t>
  </si>
  <si>
    <t>Maximum State of Charge (SoC_max) Seasonal Variation</t>
  </si>
  <si>
    <t>OI_param_maxsoc_var</t>
  </si>
  <si>
    <t>Maximum State of Charge (SoC_max) Jan</t>
  </si>
  <si>
    <t>OI_param_maxsoc_Jan</t>
  </si>
  <si>
    <t>Maximum State of Charge (SoC_max) Feb</t>
  </si>
  <si>
    <t>OI_param_maxsoc_Feb</t>
  </si>
  <si>
    <t>Maximum State of Charge (SoC_max) Mar</t>
  </si>
  <si>
    <t>OI_param_maxsoc_Mar</t>
  </si>
  <si>
    <t>Maximum State of Charge (SoC_max) Apr</t>
  </si>
  <si>
    <t>OI_param_maxsoc_Apr</t>
  </si>
  <si>
    <t>Maximum State of Charge (SoC_max) May</t>
  </si>
  <si>
    <t>OI_param_maxsoc_May</t>
  </si>
  <si>
    <t>Maximum State of Charge (SoC_max) Jun</t>
  </si>
  <si>
    <t>OI_param_maxsoc_Jun</t>
  </si>
  <si>
    <t>Maximum State of Charge (SoC_max) Jul</t>
  </si>
  <si>
    <t>OI_param_maxsoc_Jul</t>
  </si>
  <si>
    <t>Maximum State of Charge (SoC_max) Aug</t>
  </si>
  <si>
    <t>OI_param_maxsoc_Aug</t>
  </si>
  <si>
    <t>Maximum State of Charge (SoC_max) Sep</t>
  </si>
  <si>
    <t>OI_param_maxsoc_Sep</t>
  </si>
  <si>
    <t>Maximum State of Charge (SoC_max) Oct</t>
  </si>
  <si>
    <t>OI_param_maxsoc_Oct</t>
  </si>
  <si>
    <t>Maximum State of Charge (SoC_max) Nov</t>
  </si>
  <si>
    <t>OI_param_maxsoc_Nov</t>
  </si>
  <si>
    <t>Maximum State of Charge (SoC_max) Dec</t>
  </si>
  <si>
    <t>OI_param_maxsoc_Dec</t>
  </si>
  <si>
    <t>Minimum State of Charge (SoC_min)</t>
  </si>
  <si>
    <t>OI_param_minsoc</t>
  </si>
  <si>
    <t>Minimum State of Charge (SoC_min) Seasonal Variation</t>
  </si>
  <si>
    <t>OI_param_minsoc_var</t>
  </si>
  <si>
    <t>Minimum State of Charge (SoC_min) Jan</t>
  </si>
  <si>
    <t>OI_param_minsoc_Jan</t>
  </si>
  <si>
    <t>Minimum State of Charge (SoC_min) Feb</t>
  </si>
  <si>
    <t>OI_param_minsoc_Feb</t>
  </si>
  <si>
    <t>Minimum State of Charge (SoC_min) Mar</t>
  </si>
  <si>
    <t>OI_param_minsoc_Mar</t>
  </si>
  <si>
    <t>Minimum State of Charge (SoC_min) Apr</t>
  </si>
  <si>
    <t>OI_param_minsoc_Apr</t>
  </si>
  <si>
    <t>Minimum State of Charge (SoC_min) May</t>
  </si>
  <si>
    <t>OI_param_minsoc_May</t>
  </si>
  <si>
    <t>Minimum State of Charge (SoC_min) Jun</t>
  </si>
  <si>
    <t>OI_param_minsoc_Jun</t>
  </si>
  <si>
    <t>Minimum State of Charge (SoC_min) Jul</t>
  </si>
  <si>
    <t>OI_param_minsoc_Jul</t>
  </si>
  <si>
    <t>Minimum State of Charge (SoC_min) Aug</t>
  </si>
  <si>
    <t>OI_param_minsoc_Aug</t>
  </si>
  <si>
    <t>Minimum State of Charge (SoC_min) Sep</t>
  </si>
  <si>
    <t>OI_param_minsoc_Sep</t>
  </si>
  <si>
    <t>Minimum State of Charge (SoC_min) Oct</t>
  </si>
  <si>
    <t>OI_param_minsoc_Oct</t>
  </si>
  <si>
    <t>Minimum State of Charge (SoC_min) Nov</t>
  </si>
  <si>
    <t>OI_param_minsoc_Nov</t>
  </si>
  <si>
    <t>Minimum State of Charge (SoC_min) Dec</t>
  </si>
  <si>
    <t>OI_param_minsoc_Dec</t>
  </si>
  <si>
    <t>Maximum Discharge Limit (Dmax)</t>
  </si>
  <si>
    <t>OI_param_dlmax</t>
  </si>
  <si>
    <t>Maximum Discharge Limit (Dmax) Seasonal Variation</t>
  </si>
  <si>
    <t>OI_param_dlmax_var</t>
  </si>
  <si>
    <t>Maximum Discharge Limit (Dmax) Jan</t>
  </si>
  <si>
    <t>OI_param_dlmax_Jan</t>
  </si>
  <si>
    <t>Maximum Discharge Limit (Dmax) Feb</t>
  </si>
  <si>
    <t>OI_param_dlmax_Feb</t>
  </si>
  <si>
    <t>Maximum Discharge Limit (Dmax) Mar</t>
  </si>
  <si>
    <t>OI_param_dlmax_Mar</t>
  </si>
  <si>
    <t>Maximum Discharge Limit (Dmax) Apr</t>
  </si>
  <si>
    <t>OI_param_dlmax_Apr</t>
  </si>
  <si>
    <t>Maximum Discharge Limit (Dmax) May</t>
  </si>
  <si>
    <t>OI_param_dlmax_May</t>
  </si>
  <si>
    <t>Maximum Discharge Limit (Dmax) Jun</t>
  </si>
  <si>
    <t>OI_param_dlmax_Jun</t>
  </si>
  <si>
    <t>Maximum Discharge Limit (Dmax) Jul</t>
  </si>
  <si>
    <t>OI_param_dlmax_Jul</t>
  </si>
  <si>
    <t>Maximum Discharge Limit (Dmax) Aug</t>
  </si>
  <si>
    <t>OI_param_dlmax_Aug</t>
  </si>
  <si>
    <t>Maximum Discharge Limit (Dmax) Sep</t>
  </si>
  <si>
    <t>OI_param_dlmax_Sep</t>
  </si>
  <si>
    <t>Maximum Discharge Limit (Dmax) Oct</t>
  </si>
  <si>
    <t>OI_param_dlmax_Oct</t>
  </si>
  <si>
    <t>Maximum Discharge Limit (Dmax) Nov</t>
  </si>
  <si>
    <t>OI_param_dlmax_Nov</t>
  </si>
  <si>
    <t>Maximum Discharge Limit (Dmax) Dec</t>
  </si>
  <si>
    <t>OI_param_dlmax_Dec</t>
  </si>
  <si>
    <t>Minimum Discharge Limit (Dmin)</t>
  </si>
  <si>
    <t>OI_param_dlmin</t>
  </si>
  <si>
    <t>Minimum Discharge Limit (Dmin) Seasonal Variation</t>
  </si>
  <si>
    <t>OI_param_dlmin_var</t>
  </si>
  <si>
    <t>Minimum Discharge Limit (Dmin) Jan</t>
  </si>
  <si>
    <t>OI_param_dlmin_Jan</t>
  </si>
  <si>
    <t>Minimum Discharge Limit (Dmin) Feb</t>
  </si>
  <si>
    <t>OI_param_dlmin_Feb</t>
  </si>
  <si>
    <t>Minimum Discharge Limit (Dmin) Mar</t>
  </si>
  <si>
    <t>OI_param_dlmin_Mar</t>
  </si>
  <si>
    <t>Minimum Discharge Limit (Dmin) Apr</t>
  </si>
  <si>
    <t>OI_param_dlmin_Apr</t>
  </si>
  <si>
    <t>Minimum Discharge Limit (Dmin) May</t>
  </si>
  <si>
    <t>OI_param_dlmin_May</t>
  </si>
  <si>
    <t>Minimum Discharge Limit (Dmin) Jun</t>
  </si>
  <si>
    <t>OI_param_dlmin_Jun</t>
  </si>
  <si>
    <t>Minimum Discharge Limit (Dmin) Jul</t>
  </si>
  <si>
    <t>OI_param_dlmin_Jul</t>
  </si>
  <si>
    <t>Minimum Discharge Limit (Dmin) Aug</t>
  </si>
  <si>
    <t>OI_param_dlmin_Aug</t>
  </si>
  <si>
    <t>Minimum Discharge Limit (Dmin) Sep</t>
  </si>
  <si>
    <t>OI_param_dlmin_Sep</t>
  </si>
  <si>
    <t>Minimum Discharge Limit (Dmin) Oct</t>
  </si>
  <si>
    <t>OI_param_dlmin_Oct</t>
  </si>
  <si>
    <t>Minimum Discharge Limit (Dmin) Nov</t>
  </si>
  <si>
    <t>OI_param_dlmin_Nov</t>
  </si>
  <si>
    <t>Minimum Discharge Limit (Dmin) Dec</t>
  </si>
  <si>
    <t>OI_param_dlmin_Dec</t>
  </si>
  <si>
    <t>Average Discharge Rate</t>
  </si>
  <si>
    <t>OI_param_adr</t>
  </si>
  <si>
    <t>Average Discharge Rate Seasonal Variation</t>
  </si>
  <si>
    <t>OI_param_adr_var</t>
  </si>
  <si>
    <t>Average Discharge Rate Jan</t>
  </si>
  <si>
    <t>OI_param_adr_Jan</t>
  </si>
  <si>
    <t>Average Discharge Rate Feb</t>
  </si>
  <si>
    <t>OI_param_adr_Feb</t>
  </si>
  <si>
    <t>Average Discharge Rate Mar</t>
  </si>
  <si>
    <t>OI_param_adr_Mar</t>
  </si>
  <si>
    <t>Average Discharge Rate Apr</t>
  </si>
  <si>
    <t>OI_param_adr_Apr</t>
  </si>
  <si>
    <t>Average Discharge Rate May</t>
  </si>
  <si>
    <t>OI_param_adr_May</t>
  </si>
  <si>
    <t>Average Discharge Rate Jun</t>
  </si>
  <si>
    <t>OI_param_adr_Jun</t>
  </si>
  <si>
    <t>Average Discharge Rate Jul</t>
  </si>
  <si>
    <t>OI_param_adr_Jul</t>
  </si>
  <si>
    <t>Average Discharge Rate Aug</t>
  </si>
  <si>
    <t>OI_param_adr_Aug</t>
  </si>
  <si>
    <t>Average Discharge Rate Sep</t>
  </si>
  <si>
    <t>OI_param_adr_Sep</t>
  </si>
  <si>
    <t>Average Discharge Rate Oct</t>
  </si>
  <si>
    <t>OI_param_adr_Oct</t>
  </si>
  <si>
    <t>Average Discharge Rate Nov</t>
  </si>
  <si>
    <t>OI_param_adr_Nov</t>
  </si>
  <si>
    <t>Average Discharge Rate Dec</t>
  </si>
  <si>
    <t>OI_param_adr_Dec</t>
  </si>
  <si>
    <t>Minimum Duration for Full Discharge (SoC_max to SoC_min)</t>
  </si>
  <si>
    <t>OI_param_mdfd</t>
  </si>
  <si>
    <t>Minimum Duration for Full Discharge (SoC_max to SoC_min) Seasonal Variation</t>
  </si>
  <si>
    <t>OI_param_mdfd_var</t>
  </si>
  <si>
    <t>Minimum Duration for Full Discharge (SoC_max to SoC_min) Jan</t>
  </si>
  <si>
    <t>OI_param_mdfd_Jan</t>
  </si>
  <si>
    <t>Minimum Duration for Full Discharge (SoC_max to SoC_min) Feb</t>
  </si>
  <si>
    <t>OI_param_mdfd_Feb</t>
  </si>
  <si>
    <t>Minimum Duration for Full Discharge (SoC_max to SoC_min) Mar</t>
  </si>
  <si>
    <t>OI_param_mdfd_Mar</t>
  </si>
  <si>
    <t>Minimum Duration for Full Discharge (SoC_max to SoC_min) Apr</t>
  </si>
  <si>
    <t>OI_param_mdfd_Apr</t>
  </si>
  <si>
    <t>Minimum Duration for Full Discharge (SoC_max to SoC_min) May</t>
  </si>
  <si>
    <t>OI_param_mdfd_May</t>
  </si>
  <si>
    <t>Minimum Duration for Full Discharge (SoC_max to SoC_min) Jun</t>
  </si>
  <si>
    <t>OI_param_mdfd_Jun</t>
  </si>
  <si>
    <t>Minimum Duration for Full Discharge (SoC_max to SoC_min) Jul</t>
  </si>
  <si>
    <t>OI_param_mdfd_Jul</t>
  </si>
  <si>
    <t>Minimum Duration for Full Discharge (SoC_max to SoC_min) Aug</t>
  </si>
  <si>
    <t>OI_param_mdfd_Aug</t>
  </si>
  <si>
    <t>Minimum Duration for Full Discharge (SoC_max to SoC_min) Sep</t>
  </si>
  <si>
    <t>OI_param_mdfd_Sep</t>
  </si>
  <si>
    <t>Minimum Duration for Full Discharge (SoC_max to SoC_min) Oct</t>
  </si>
  <si>
    <t>OI_param_mdfd_Oct</t>
  </si>
  <si>
    <t>Minimum Duration for Full Discharge (SoC_max to SoC_min) Nov</t>
  </si>
  <si>
    <t>OI_param_mdfd_Nov</t>
  </si>
  <si>
    <t>Minimum Duration for Full Discharge (SoC_max to SoC_min) Dec</t>
  </si>
  <si>
    <t>OI_param_mdfd_Dec</t>
  </si>
  <si>
    <t>Maximum Charge Limit (Cmax)</t>
  </si>
  <si>
    <t>OI_param_clmax</t>
  </si>
  <si>
    <t>Maximum Charge Limit (Cmax) Seasonal Variation</t>
  </si>
  <si>
    <t>OI_param_clmax_var</t>
  </si>
  <si>
    <t>Maximum Charge Limit (Cmax) Jan</t>
  </si>
  <si>
    <t>OI_param_clmax_Jan</t>
  </si>
  <si>
    <t>Maximum Charge Limit (Cmax) Feb</t>
  </si>
  <si>
    <t>OI_param_clmax_Feb</t>
  </si>
  <si>
    <t>Maximum Charge Limit (Cmax) Mar</t>
  </si>
  <si>
    <t>OI_param_clmax_Mar</t>
  </si>
  <si>
    <t>Maximum Charge Limit (Cmax) Apr</t>
  </si>
  <si>
    <t>OI_param_clmax_Apr</t>
  </si>
  <si>
    <t>Maximum Charge Limit (Cmax) May</t>
  </si>
  <si>
    <t>OI_param_clmax_May</t>
  </si>
  <si>
    <t>Maximum Charge Limit (Cmax) Jun</t>
  </si>
  <si>
    <t>OI_param_clmax_Jun</t>
  </si>
  <si>
    <t>Maximum Charge Limit (Cmax) Jul</t>
  </si>
  <si>
    <t>OI_param_clmax_Jul</t>
  </si>
  <si>
    <t>Maximum Charge Limit (Cmax) Aug</t>
  </si>
  <si>
    <t>OI_param_clmax_Aug</t>
  </si>
  <si>
    <t>Maximum Charge Limit (Cmax) Sep</t>
  </si>
  <si>
    <t>OI_param_clmax_Sep</t>
  </si>
  <si>
    <t>Maximum Charge Limit (Cmax) Oct</t>
  </si>
  <si>
    <t>OI_param_clmax_Oct</t>
  </si>
  <si>
    <t>Maximum Charge Limit (Cmax) Nov</t>
  </si>
  <si>
    <t>OI_param_clmax_Nov</t>
  </si>
  <si>
    <t>Maximum Charge Limit (Cmax) Dec</t>
  </si>
  <si>
    <t>OI_param_clmax_Dec</t>
  </si>
  <si>
    <t>Minimum Charge Limit (Cmin)</t>
  </si>
  <si>
    <t>OI_param_clmin</t>
  </si>
  <si>
    <t>Minimum Charge Limit (Cmin) Seasonal Variation</t>
  </si>
  <si>
    <t>OI_param_clmin_var</t>
  </si>
  <si>
    <t>Minimum Charge Limit (Cmin) Jan</t>
  </si>
  <si>
    <t>OI_param_clmin_Jan</t>
  </si>
  <si>
    <t>Minimum Charge Limit (Cmin) Feb</t>
  </si>
  <si>
    <t>OI_param_clmin_Feb</t>
  </si>
  <si>
    <t>Minimum Charge Limit (Cmin) Mar</t>
  </si>
  <si>
    <t>OI_param_clmin_Mar</t>
  </si>
  <si>
    <t>Minimum Charge Limit (Cmin) Apr</t>
  </si>
  <si>
    <t>OI_param_clmin_Apr</t>
  </si>
  <si>
    <t>Minimum Charge Limit (Cmin) May</t>
  </si>
  <si>
    <t>OI_param_clmin_May</t>
  </si>
  <si>
    <t>Minimum Charge Limit (Cmin) Jun</t>
  </si>
  <si>
    <t>OI_param_clmin_Jun</t>
  </si>
  <si>
    <t>Minimum Charge Limit (Cmin) Jul</t>
  </si>
  <si>
    <t>OI_param_clmin_Jul</t>
  </si>
  <si>
    <t>Minimum Charge Limit (Cmin) Aug</t>
  </si>
  <si>
    <t>OI_param_clmin_Aug</t>
  </si>
  <si>
    <t>Minimum Charge Limit (Cmin) Sep</t>
  </si>
  <si>
    <t>OI_param_clmin_Sep</t>
  </si>
  <si>
    <t>Minimum Charge Limit (Cmin) Oct</t>
  </si>
  <si>
    <t>OI_param_clmin_Oct</t>
  </si>
  <si>
    <t>Minimum Charge Limit (Cmin) Nov</t>
  </si>
  <si>
    <t>OI_param_clmin_Nov</t>
  </si>
  <si>
    <t>Minimum Charge Limit (Cmin) Dec</t>
  </si>
  <si>
    <t>OI_param_clmin_Dec</t>
  </si>
  <si>
    <t>Average Charge Rate</t>
  </si>
  <si>
    <t>OI_param_acr</t>
  </si>
  <si>
    <t>Average Charge Rate Seasonal Variation</t>
  </si>
  <si>
    <t>OI_param_acr_var</t>
  </si>
  <si>
    <t>Average Charge Rate Jan</t>
  </si>
  <si>
    <t>OI_param_acr_Jan</t>
  </si>
  <si>
    <t>Average Charge Rate Feb</t>
  </si>
  <si>
    <t>OI_param_acr_Feb</t>
  </si>
  <si>
    <t>Average Charge Rate Mar</t>
  </si>
  <si>
    <t>OI_param_acr_Mar</t>
  </si>
  <si>
    <t>Average Charge Rate Apr</t>
  </si>
  <si>
    <t>OI_param_acr_Apr</t>
  </si>
  <si>
    <t>Average Charge Rate May</t>
  </si>
  <si>
    <t>OI_param_acr_May</t>
  </si>
  <si>
    <t>Average Charge Rate Jun</t>
  </si>
  <si>
    <t>OI_param_acr_Jun</t>
  </si>
  <si>
    <t>Average Charge Rate Jul</t>
  </si>
  <si>
    <t>OI_param_acr_Jul</t>
  </si>
  <si>
    <t>Average Charge Rate Aug</t>
  </si>
  <si>
    <t>OI_param_acr_Aug</t>
  </si>
  <si>
    <t>Average Charge Rate Sep</t>
  </si>
  <si>
    <t>OI_param_acr_Sep</t>
  </si>
  <si>
    <t>Average Charge Rate Oct</t>
  </si>
  <si>
    <t>OI_param_acr_Oct</t>
  </si>
  <si>
    <t>Average Charge Rate Nov</t>
  </si>
  <si>
    <t>OI_param_acr_Nov</t>
  </si>
  <si>
    <t>Average Charge Rate Dec</t>
  </si>
  <si>
    <t>OI_param_acr_Dec</t>
  </si>
  <si>
    <t>Minimum Duration for Full Charge (SoC_min to SoC_max)</t>
  </si>
  <si>
    <t>OI_param_mdfc</t>
  </si>
  <si>
    <t>Minimum Duration for Full Charge (SoC_min to SoC_max) Seasonal Variation</t>
  </si>
  <si>
    <t>OI_param_mdfc_var</t>
  </si>
  <si>
    <t>Minimum Duration for Full Charge (SoC_min to SoC_max) Jan</t>
  </si>
  <si>
    <t>OI_param_mdfc_Jan</t>
  </si>
  <si>
    <t>Minimum Duration for Full Charge (SoC_min to SoC_max) Feb</t>
  </si>
  <si>
    <t>OI_param_mdfc_Feb</t>
  </si>
  <si>
    <t>Minimum Duration for Full Charge (SoC_min to SoC_max) Mar</t>
  </si>
  <si>
    <t>OI_param_mdfc_Mar</t>
  </si>
  <si>
    <t>Minimum Duration for Full Charge (SoC_min to SoC_max) Apr</t>
  </si>
  <si>
    <t>OI_param_mdfc_Apr</t>
  </si>
  <si>
    <t>Minimum Duration for Full Charge (SoC_min to SoC_max) May</t>
  </si>
  <si>
    <t>OI_param_mdfc_May</t>
  </si>
  <si>
    <t>Minimum Duration for Full Charge (SoC_min to SoC_max) Jun</t>
  </si>
  <si>
    <t>OI_param_mdfc_Jun</t>
  </si>
  <si>
    <t>Minimum Duration for Full Charge (SoC_min to SoC_max) Jul</t>
  </si>
  <si>
    <t>OI_param_mdfc_Jul</t>
  </si>
  <si>
    <t>Minimum Duration for Full Charge (SoC_min to SoC_max) Aug</t>
  </si>
  <si>
    <t>OI_param_mdfc_Aug</t>
  </si>
  <si>
    <t>Minimum Duration for Full Charge (SoC_min to SoC_max) Sep</t>
  </si>
  <si>
    <t>OI_param_mdfc_Sep</t>
  </si>
  <si>
    <t>Minimum Duration for Full Charge (SoC_min to SoC_max) Oct</t>
  </si>
  <si>
    <t>OI_param_mdfc_Oct</t>
  </si>
  <si>
    <t>Minimum Duration for Full Charge (SoC_min to SoC_max) Nov</t>
  </si>
  <si>
    <t>OI_param_mdfc_Nov</t>
  </si>
  <si>
    <t>Minimum Duration for Full Charge (SoC_min to SoC_max) Dec</t>
  </si>
  <si>
    <t>OI_param_mdfc_Dec</t>
  </si>
  <si>
    <t>Maximum Power for Station Use</t>
  </si>
  <si>
    <t>OI_param_il</t>
  </si>
  <si>
    <t>Maximum Power for Station Use Seasonal Variation</t>
  </si>
  <si>
    <t>OI_param_il_var</t>
  </si>
  <si>
    <t>Maximum Power for Station Use Jan</t>
  </si>
  <si>
    <t>OI_param_il_Jan</t>
  </si>
  <si>
    <t>Maximum Power for Station Use Feb</t>
  </si>
  <si>
    <t>OI_param_il_Feb</t>
  </si>
  <si>
    <t>Maximum Power for Station Use Mar</t>
  </si>
  <si>
    <t>OI_param_il_Mar</t>
  </si>
  <si>
    <t>Maximum Power for Station Use Apr</t>
  </si>
  <si>
    <t>OI_param_il_Apr</t>
  </si>
  <si>
    <t>Maximum Power for Station Use May</t>
  </si>
  <si>
    <t>OI_param_il_May</t>
  </si>
  <si>
    <t>Maximum Power for Station Use Jun</t>
  </si>
  <si>
    <t>OI_param_il_Jun</t>
  </si>
  <si>
    <t>Maximum Power for Station Use Jul</t>
  </si>
  <si>
    <t>OI_param_il_Jul</t>
  </si>
  <si>
    <t>Maximum Power for Station Use Aug</t>
  </si>
  <si>
    <t>OI_param_il_Aug</t>
  </si>
  <si>
    <t>Maximum Power for Station Use Sep</t>
  </si>
  <si>
    <t>OI_param_il_Sep</t>
  </si>
  <si>
    <t>Maximum Power for Station Use Oct</t>
  </si>
  <si>
    <t>OI_param_il_Oct</t>
  </si>
  <si>
    <t>Maximum Power for Station Use Nov</t>
  </si>
  <si>
    <t>OI_param_il_Nov</t>
  </si>
  <si>
    <t>Maximum Power for Station Use Dec</t>
  </si>
  <si>
    <t>OI_param_il_Dec</t>
  </si>
  <si>
    <t>Avg Daily Load for Station Use</t>
  </si>
  <si>
    <t>OI_param_dl</t>
  </si>
  <si>
    <t>Avg Daily Load for Station Use Seasonal Variation</t>
  </si>
  <si>
    <t>OI_param_dl_var</t>
  </si>
  <si>
    <t>Avg Daily Load for Station Use Jan</t>
  </si>
  <si>
    <t>OI_param_dl_Jan</t>
  </si>
  <si>
    <t>Avg Daily Load for Station Use Feb</t>
  </si>
  <si>
    <t>OI_param_dl_Feb</t>
  </si>
  <si>
    <t>Avg Daily Load for Station Use Mar</t>
  </si>
  <si>
    <t>OI_param_dl_Mar</t>
  </si>
  <si>
    <t>Avg Daily Load for Station Use Apr</t>
  </si>
  <si>
    <t>OI_param_dl_Apr</t>
  </si>
  <si>
    <t>Avg Daily Load for Station Use May</t>
  </si>
  <si>
    <t>OI_param_dl_May</t>
  </si>
  <si>
    <t>Avg Daily Load for Station Use Jun</t>
  </si>
  <si>
    <t>OI_param_dl_Jun</t>
  </si>
  <si>
    <t>Avg Daily Load for Station Use Jul</t>
  </si>
  <si>
    <t>OI_param_dl_Jul</t>
  </si>
  <si>
    <t>Avg Daily Load for Station Use Aug</t>
  </si>
  <si>
    <t>OI_param_dl_Aug</t>
  </si>
  <si>
    <t>Avg Daily Load for Station Use Sep</t>
  </si>
  <si>
    <t>OI_param_dl_Sep</t>
  </si>
  <si>
    <t>Avg Daily Load for Station Use Oct</t>
  </si>
  <si>
    <t>OI_param_dl_Oct</t>
  </si>
  <si>
    <t>Avg Daily Load for Station Use Nov</t>
  </si>
  <si>
    <t>OI_param_dl_Nov</t>
  </si>
  <si>
    <t>Avg Daily Load for Station Use Dec</t>
  </si>
  <si>
    <t>OI_param_dl_Dec</t>
  </si>
  <si>
    <t>System Roundtrip Efficiency</t>
  </si>
  <si>
    <t>OI_param_srte</t>
  </si>
  <si>
    <t>Standby Self-discharge</t>
  </si>
  <si>
    <t>OI_param_ssd</t>
  </si>
  <si>
    <t>Standby Self-discharge Seasonal Variation</t>
  </si>
  <si>
    <t>OI_param_ssd_var</t>
  </si>
  <si>
    <t>Standby Self-discharge Jan</t>
  </si>
  <si>
    <t>OI_param_ssd_Jan</t>
  </si>
  <si>
    <t>Standby Self-discharge Feb</t>
  </si>
  <si>
    <t>OI_param_ssd_Feb</t>
  </si>
  <si>
    <t>Standby Self-discharge Mar</t>
  </si>
  <si>
    <t>OI_param_ssd_Mar</t>
  </si>
  <si>
    <t>Standby Self-discharge Apr</t>
  </si>
  <si>
    <t>OI_param_ssd_Apr</t>
  </si>
  <si>
    <t>Standby Self-discharge May</t>
  </si>
  <si>
    <t>OI_param_ssd_May</t>
  </si>
  <si>
    <t>Standby Self-discharge Jun</t>
  </si>
  <si>
    <t>OI_param_ssd_Jun</t>
  </si>
  <si>
    <t>Standby Self-discharge Jul</t>
  </si>
  <si>
    <t>OI_param_ssd_Jul</t>
  </si>
  <si>
    <t>Standby Self-discharge Aug</t>
  </si>
  <si>
    <t>OI_param_ssd_Aug</t>
  </si>
  <si>
    <t>Standby Self-discharge Sep</t>
  </si>
  <si>
    <t>OI_param_ssd_Sep</t>
  </si>
  <si>
    <t>Standby Self-discharge Oct</t>
  </si>
  <si>
    <t>OI_param_ssd_Oct</t>
  </si>
  <si>
    <t>Standby Self-discharge Nov</t>
  </si>
  <si>
    <t>OI_param_ssd_Nov</t>
  </si>
  <si>
    <t>Standby Self-discharge Dec</t>
  </si>
  <si>
    <t>OI_param_ssd_Dec</t>
  </si>
  <si>
    <t>Average Annual Capacity Degradation</t>
  </si>
  <si>
    <t>OI_param_aacd</t>
  </si>
  <si>
    <t>Notification to Start Time</t>
  </si>
  <si>
    <t>OI_dtl_nst</t>
  </si>
  <si>
    <t>Time to Update Dispatch Schedule</t>
  </si>
  <si>
    <t>OI_dtl_tuds</t>
  </si>
  <si>
    <t>Minimum Run Time Per Charge Period</t>
  </si>
  <si>
    <t>OI_dtl_rtcpmin</t>
  </si>
  <si>
    <t>Minimum Run Time Per Discharge Period</t>
  </si>
  <si>
    <t>OI_dtl_rtdpmin</t>
  </si>
  <si>
    <t>Minimum Down Time Required Between Two Discharge Periods</t>
  </si>
  <si>
    <t>OI_dtl_dtrdpmin</t>
  </si>
  <si>
    <t>Minimum Down Time Required Between Two Charge Periods</t>
  </si>
  <si>
    <t>OI_dtl_dtrcpmin</t>
  </si>
  <si>
    <t>Dmin to Dmax (Discharge Ramp Rate)</t>
  </si>
  <si>
    <t>OI_rr_dtdrate</t>
  </si>
  <si>
    <t>Dmax to Dmin</t>
  </si>
  <si>
    <t>OI_rr_dtd</t>
  </si>
  <si>
    <t>Cmax to Cmin</t>
  </si>
  <si>
    <t>OI_rr_ctc</t>
  </si>
  <si>
    <t>Cmin to Cmax (Charge Ramp Rate)</t>
  </si>
  <si>
    <t>OI_rr_ctcrate</t>
  </si>
  <si>
    <t>Ramp Rate Reduction at High SoC Min</t>
  </si>
  <si>
    <t>OI_rr_rrrhighmin</t>
  </si>
  <si>
    <t>Ramp Rate Reduction at High SoC Max</t>
  </si>
  <si>
    <t>OI_rr_rrrhighmax</t>
  </si>
  <si>
    <t>Ramp Rate Reduction at High SoC Avg</t>
  </si>
  <si>
    <t>OI_rr_rrrhighavg</t>
  </si>
  <si>
    <t>Ramp Rate Reduction at High SoC Limit</t>
  </si>
  <si>
    <t>OI_rr_rrrhighlimit</t>
  </si>
  <si>
    <t>Ramp Rate Reduction at Low SoC Min</t>
  </si>
  <si>
    <t>OI_rr_rrrlowmin</t>
  </si>
  <si>
    <t>Ramp Rate Reduction at Low SoC Max</t>
  </si>
  <si>
    <t>OI_rr_rrrlowmax</t>
  </si>
  <si>
    <t>Ramp Rate Reduction at Low SoC Avg</t>
  </si>
  <si>
    <t>OI_rr_rrrlowavg</t>
  </si>
  <si>
    <t>Ramp Rate Reduction at Low SoC Limit</t>
  </si>
  <si>
    <t>OI_rr_rrrlowlimit</t>
  </si>
  <si>
    <t>Maximum Daily Cycles</t>
  </si>
  <si>
    <t>OI_cl_maxdc</t>
  </si>
  <si>
    <t>Maximum Monthly Cycles</t>
  </si>
  <si>
    <t>OI_cl_maxmc</t>
  </si>
  <si>
    <t>Maximum Annual Cycles</t>
  </si>
  <si>
    <t>OI_cl_maxac</t>
  </si>
  <si>
    <t>Maximum Lifetime Cycles (Contract Term)</t>
  </si>
  <si>
    <t>OI_cl_maxlc</t>
  </si>
  <si>
    <t>Normal Response Ramp Rate Spinning</t>
  </si>
  <si>
    <t>OI_as_rrspin</t>
  </si>
  <si>
    <t>Minimum Operating Range Spinning</t>
  </si>
  <si>
    <t>OI_as_minorspin</t>
  </si>
  <si>
    <t>Maximum Operating Range Spinning</t>
  </si>
  <si>
    <t>OI_as_maxorspin</t>
  </si>
  <si>
    <t>Beginning Energy Level Spinning</t>
  </si>
  <si>
    <t>OI_as_belspin</t>
  </si>
  <si>
    <t>Ancillary Services Capacity Spinning</t>
  </si>
  <si>
    <t>OI_as_ascspin</t>
  </si>
  <si>
    <t>Emergency Response Rate</t>
  </si>
  <si>
    <t>OI_as_errspin</t>
  </si>
  <si>
    <t>Yes/No</t>
  </si>
  <si>
    <t>&lt;Choose&gt;</t>
  </si>
  <si>
    <t>Yes</t>
  </si>
  <si>
    <t>No</t>
  </si>
  <si>
    <t>Facility Status</t>
  </si>
  <si>
    <t>New</t>
  </si>
  <si>
    <t>Existing</t>
  </si>
  <si>
    <t>100% site control</t>
  </si>
  <si>
    <t xml:space="preserve">Have majority control (&gt;=50% and &lt;100%) over the project site and gen-tie line corridor connecting the facility to the grid </t>
  </si>
  <si>
    <t xml:space="preserve">Have minority control (&lt;50%) over the project site and gen-tie corridor to the grid; </t>
  </si>
  <si>
    <t>Identified Location But No Site Control Yet</t>
  </si>
  <si>
    <t>No project site identified</t>
  </si>
  <si>
    <t xml:space="preserve">Identified and completed all permitting requirements </t>
  </si>
  <si>
    <t>Identified all permitting requirements and have started permitting process</t>
  </si>
  <si>
    <t>Identified but have not started permitting process</t>
  </si>
  <si>
    <t>Have not identified necessary permits or started the permitting process</t>
  </si>
  <si>
    <t>Project Finance</t>
  </si>
  <si>
    <t xml:space="preserve">Completely secured through balance sheet financing or contract financing; </t>
  </si>
  <si>
    <t>Identified financing resources though not fully secured</t>
  </si>
  <si>
    <t>Project not fully funded and still identifying funding sources</t>
  </si>
  <si>
    <t>Biological</t>
  </si>
  <si>
    <t>Chemical</t>
  </si>
  <si>
    <t>Electrical</t>
  </si>
  <si>
    <t>Electrochemical</t>
  </si>
  <si>
    <t>Mechanical</t>
  </si>
  <si>
    <t>Thermal</t>
  </si>
  <si>
    <t>Other</t>
  </si>
  <si>
    <t>Storage Unit Technology</t>
  </si>
  <si>
    <t/>
  </si>
  <si>
    <t>Solid-electrode Batteries</t>
  </si>
  <si>
    <t>Flow Batteries</t>
  </si>
  <si>
    <t>Fuel Cell</t>
  </si>
  <si>
    <t>Lead-Acid</t>
  </si>
  <si>
    <t>Vanadium Redox</t>
  </si>
  <si>
    <t>Lithium-Ion</t>
  </si>
  <si>
    <t>Zinc-Bromine</t>
  </si>
  <si>
    <t>Sodium Sulfur</t>
  </si>
  <si>
    <t>Iron-Chromium</t>
  </si>
  <si>
    <t>Zinc Air</t>
  </si>
  <si>
    <t>Lithium Ion Battery Type</t>
  </si>
  <si>
    <t>Lithium cobalt oxide</t>
  </si>
  <si>
    <t>Lithium manganese oxide</t>
  </si>
  <si>
    <t>Lithium iron phosphate</t>
  </si>
  <si>
    <t>Lithium nickel manganese cobalt oxide</t>
  </si>
  <si>
    <t>Lithium nickel cobalt aluminum oxide</t>
  </si>
  <si>
    <t>Lithium titanate</t>
  </si>
  <si>
    <t>Interconnection Application Status</t>
  </si>
  <si>
    <t>Request Submitted</t>
  </si>
  <si>
    <t>FES Pending (Optional)</t>
  </si>
  <si>
    <t>FES Complete (Optional)</t>
  </si>
  <si>
    <t>SRIS Pending</t>
  </si>
  <si>
    <t>SRIS Complete</t>
  </si>
  <si>
    <t>none</t>
  </si>
  <si>
    <t>Utility Interconnection Status</t>
  </si>
  <si>
    <t>Studies pending</t>
  </si>
  <si>
    <t>Studies complete</t>
  </si>
  <si>
    <t>Upgrades constructed</t>
  </si>
  <si>
    <t>Project in service</t>
  </si>
  <si>
    <t>Full Capacity / Energy Delivery</t>
  </si>
  <si>
    <t>Energy Only</t>
  </si>
  <si>
    <t>Partial Deliverability</t>
  </si>
  <si>
    <t>Full Capacity Delivery</t>
  </si>
  <si>
    <t>NYISO Zones</t>
  </si>
  <si>
    <t>G</t>
  </si>
  <si>
    <t>H</t>
  </si>
  <si>
    <t>I</t>
  </si>
  <si>
    <t>J</t>
  </si>
  <si>
    <t>Interconnection Level</t>
  </si>
  <si>
    <t>Transmission</t>
  </si>
  <si>
    <t>Distribution</t>
  </si>
  <si>
    <t>Project Development Experience</t>
  </si>
  <si>
    <t>Have completed one or more storage projects in commercial operation</t>
  </si>
  <si>
    <t>Have completed one or more energy storage projects as pilot / demonstration</t>
  </si>
  <si>
    <t>Have not completed an energy storage project in commercial operation or a pilot, but have completed one or more electricity generation projects</t>
  </si>
  <si>
    <t>In development of a project, No project development experience</t>
  </si>
  <si>
    <t>Operation and Management Experience</t>
  </si>
  <si>
    <t xml:space="preserve">Have experience operating a commercial energy storage resource </t>
  </si>
  <si>
    <t>Have experience operating a pilot energy storage resource</t>
  </si>
  <si>
    <t>No experience operating an energy storage resource, but have experience operating a commercial electricity generation resource</t>
  </si>
  <si>
    <t>Have no experience operating a resource</t>
  </si>
  <si>
    <t>Equipment List</t>
  </si>
  <si>
    <t>Cells</t>
  </si>
  <si>
    <t>Modules</t>
  </si>
  <si>
    <t>Battery Management System</t>
  </si>
  <si>
    <t>Power Conversion System/Inverter</t>
  </si>
  <si>
    <t>Controller</t>
  </si>
  <si>
    <t>Software</t>
  </si>
  <si>
    <t>Thermal Management</t>
  </si>
  <si>
    <t>Racking</t>
  </si>
  <si>
    <t>Enclosure</t>
  </si>
  <si>
    <t>Jurisdiction</t>
  </si>
  <si>
    <t>NYISO (Federal)</t>
  </si>
  <si>
    <t>Utility (State)</t>
  </si>
  <si>
    <t>Scheduling and Dispatch Rights</t>
  </si>
  <si>
    <t>CECONY</t>
  </si>
  <si>
    <t>O&amp;R</t>
  </si>
  <si>
    <t>NYISO Load Areas</t>
  </si>
  <si>
    <t>Not Applicable</t>
  </si>
  <si>
    <t>B-01B-Borough Hall</t>
  </si>
  <si>
    <t>Cuddebackville</t>
  </si>
  <si>
    <t>B-02B-Park Slope</t>
  </si>
  <si>
    <t>Hartley Road</t>
  </si>
  <si>
    <t>B-03B-Crown Heights</t>
  </si>
  <si>
    <t>B-04B-Flatbush</t>
  </si>
  <si>
    <t>B-05B-Ridgewood</t>
  </si>
  <si>
    <t>B-06B-Williamsburg</t>
  </si>
  <si>
    <t>B-07B-Ocean Parkway</t>
  </si>
  <si>
    <t>B-08B-Bay Ridge</t>
  </si>
  <si>
    <t>B-09B-Richmond Hill</t>
  </si>
  <si>
    <t>B-10B-Sheepshead Bay</t>
  </si>
  <si>
    <t>B-11B-Brighton Beach</t>
  </si>
  <si>
    <t>B-12B-Prospect Park</t>
  </si>
  <si>
    <t>Q-01Q-Long Island City</t>
  </si>
  <si>
    <t>Q-02Q-Borden</t>
  </si>
  <si>
    <t>Q-03Q-Rego Park</t>
  </si>
  <si>
    <t>Q-05Q-Jamaica</t>
  </si>
  <si>
    <t>Q-06Q-Maspeth</t>
  </si>
  <si>
    <t>Q-07Q-Flushing</t>
  </si>
  <si>
    <t>Q-09Q-Jackson Heights</t>
  </si>
  <si>
    <t>Q-10Q-Sunnyside</t>
  </si>
  <si>
    <t>X-01X-Riverdale</t>
  </si>
  <si>
    <t>X-02X-West Bronx</t>
  </si>
  <si>
    <t>X-03X-Fordham</t>
  </si>
  <si>
    <t>X-04X-Central Bronx</t>
  </si>
  <si>
    <t>X-05X-Northeast Bronx</t>
  </si>
  <si>
    <t>X-07X-Southeast Bronx</t>
  </si>
  <si>
    <t>M-01M-Washington Heights</t>
  </si>
  <si>
    <t>M-02M-Harlem</t>
  </si>
  <si>
    <t>M-03M-Yorkville</t>
  </si>
  <si>
    <t>M-04M-Grand Central</t>
  </si>
  <si>
    <t>M-05M-Times Square</t>
  </si>
  <si>
    <t>M-06M-Madison Square</t>
  </si>
  <si>
    <t>M-07M-Cooper Square</t>
  </si>
  <si>
    <t>M-08M-City Hall</t>
  </si>
  <si>
    <t>M-09M-Hunter</t>
  </si>
  <si>
    <t>M-10M-Sheridan Sq.</t>
  </si>
  <si>
    <t>M-11M-Plaza</t>
  </si>
  <si>
    <t>M-12M-Empire</t>
  </si>
  <si>
    <t>M-13M-Chelsea</t>
  </si>
  <si>
    <t>M-14M-Randall's Island</t>
  </si>
  <si>
    <t>M-15M-Cortlandt</t>
  </si>
  <si>
    <t>M-16M-Pennsylvania</t>
  </si>
  <si>
    <t>M-17M-Central Park</t>
  </si>
  <si>
    <t>M-18M-Battery Park City</t>
  </si>
  <si>
    <t>M-19M-Rockefeller Center</t>
  </si>
  <si>
    <t>M-20M-Sutton</t>
  </si>
  <si>
    <t>M-21M-Columbus Circle</t>
  </si>
  <si>
    <t>M-22M-Canal</t>
  </si>
  <si>
    <t>M-23M-Lincoln Square</t>
  </si>
  <si>
    <t>M-24M-Lenox Hill</t>
  </si>
  <si>
    <t>M-25M-Turtle Bay</t>
  </si>
  <si>
    <t>M-26M-Greeley Square</t>
  </si>
  <si>
    <t>M-27M-Fulton</t>
  </si>
  <si>
    <t>M-28M-Herald Square</t>
  </si>
  <si>
    <t>M-29M-Beekman</t>
  </si>
  <si>
    <t>M-30M-Fashion</t>
  </si>
  <si>
    <t>M-31M-Roosevelt</t>
  </si>
  <si>
    <t>M-32M-Greenwich</t>
  </si>
  <si>
    <t>M-34M-Park Place</t>
  </si>
  <si>
    <t>M-39M-Hudson</t>
  </si>
  <si>
    <t>M-40M-Bowling Green</t>
  </si>
  <si>
    <t>M-41M-Freedom</t>
  </si>
  <si>
    <t>M-43M-Kips Bay</t>
  </si>
  <si>
    <t>M-44M-Triboro</t>
  </si>
  <si>
    <t>M-53M-Midtown West</t>
  </si>
  <si>
    <t>W-01W/09W-Washington Street</t>
  </si>
  <si>
    <t>W-02W-Rockview</t>
  </si>
  <si>
    <t>W-06W-Ossining West</t>
  </si>
  <si>
    <t>W-07W-Millwood West</t>
  </si>
  <si>
    <t>W-08W-White Plains</t>
  </si>
  <si>
    <t>W-10W/15W-Granite Hill</t>
  </si>
  <si>
    <t>W-11W-Pleasantville</t>
  </si>
  <si>
    <t>W-12W-Elmsford No. 2</t>
  </si>
  <si>
    <t>W-13W-Buchanan</t>
  </si>
  <si>
    <t>W-17W-Harrison</t>
  </si>
  <si>
    <t>W-19W-Grasslands</t>
  </si>
  <si>
    <t>W-20W-Cedar St</t>
  </si>
  <si>
    <t>R-01R-Fresh Kills</t>
  </si>
  <si>
    <t>R-02R-Fox Hills</t>
  </si>
  <si>
    <t>R-03R-Wainwright</t>
  </si>
  <si>
    <t>R-04R-Willowbrook</t>
  </si>
  <si>
    <t>R-05R-Woodrow</t>
  </si>
  <si>
    <t>Interconnecting Substation</t>
  </si>
  <si>
    <t>Substation A</t>
  </si>
  <si>
    <t>Substation B</t>
  </si>
  <si>
    <t>B</t>
  </si>
  <si>
    <t>Missing</t>
  </si>
  <si>
    <t>Completed</t>
  </si>
  <si>
    <t>Msg 1</t>
  </si>
  <si>
    <t>Bidder Proposal: Energy Storage Offer Form</t>
  </si>
  <si>
    <t>New York State Electric and Gas Corporation</t>
  </si>
  <si>
    <t>Version 1.0 - April 7, 2025</t>
  </si>
  <si>
    <t>Rochester Gas and Electric Corporation</t>
  </si>
  <si>
    <t>Instructions</t>
  </si>
  <si>
    <t>1. File should be completed using Excel 2010 or later.</t>
  </si>
  <si>
    <t>2. Set Calculation Options in "Formulas" to Automatic</t>
  </si>
  <si>
    <t>3. Please fill out requested entries, indicated by colored cells.</t>
  </si>
  <si>
    <t>4. Cells will function best if filled out left to right and top to bottom unless otherwise specified.</t>
  </si>
  <si>
    <t>5. Review "Offer Form Tabs" table below to understand which components of this workbook are consider binding or non-binding.</t>
  </si>
  <si>
    <t>6. Please complete separate worksheets for each bid.</t>
  </si>
  <si>
    <t>Entry required as number or text. For numerical values, no $, %, or other symbols required.</t>
  </si>
  <si>
    <t>Choice from drop-down list required. Choices may trigger additional entries to be completed.</t>
  </si>
  <si>
    <t>Indicates additional definitions or notes are provided.</t>
  </si>
  <si>
    <t>Offer Form Tabs</t>
  </si>
  <si>
    <t>Status Phase I</t>
  </si>
  <si>
    <t>Status Phase II</t>
  </si>
  <si>
    <t>N/A</t>
  </si>
  <si>
    <t>Binding</t>
  </si>
  <si>
    <t>Project Summary Status</t>
  </si>
  <si>
    <t>Indicative</t>
  </si>
  <si>
    <t>Warranty Summary</t>
  </si>
  <si>
    <t>Scope Checklist</t>
  </si>
  <si>
    <t>Team Experience</t>
  </si>
  <si>
    <t xml:space="preserve"> </t>
  </si>
  <si>
    <t>Bidder Proposal: Bidder Information</t>
  </si>
  <si>
    <t xml:space="preserve">Counterparty / Legal Entity Name  </t>
  </si>
  <si>
    <t xml:space="preserve">Street Address  </t>
  </si>
  <si>
    <t xml:space="preserve">City  </t>
  </si>
  <si>
    <t xml:space="preserve">State  </t>
  </si>
  <si>
    <t xml:space="preserve">Zip Code  </t>
  </si>
  <si>
    <t xml:space="preserve">Country  </t>
  </si>
  <si>
    <t xml:space="preserve">Website  </t>
  </si>
  <si>
    <t>Does the Bidder have a pre-existing contract with NYSEG or RG&amp;E?</t>
  </si>
  <si>
    <t>Authorized Contact #1</t>
  </si>
  <si>
    <t>Authorized Contact #2</t>
  </si>
  <si>
    <t xml:space="preserve">First Name  </t>
  </si>
  <si>
    <t xml:space="preserve">Last Name  </t>
  </si>
  <si>
    <t xml:space="preserve">Title  </t>
  </si>
  <si>
    <t xml:space="preserve">Phone 1  </t>
  </si>
  <si>
    <t xml:space="preserve">Phone 2  </t>
  </si>
  <si>
    <t xml:space="preserve">Email  </t>
  </si>
  <si>
    <t>Project Developer (May Be the Same as the Bidder)</t>
  </si>
  <si>
    <t xml:space="preserve">Developer Name  </t>
  </si>
  <si>
    <t>Does the Developer have a pre-existing contract with NYSEG or RG&amp;E?</t>
  </si>
  <si>
    <t>Bidder or owners of Project</t>
  </si>
  <si>
    <t>Include all that apply</t>
  </si>
  <si>
    <t xml:space="preserve">NYSEG  </t>
  </si>
  <si>
    <t xml:space="preserve">RG&amp;E  </t>
  </si>
  <si>
    <t xml:space="preserve">NYSERDA  </t>
  </si>
  <si>
    <t xml:space="preserve">Affiliates of any of the above  </t>
  </si>
  <si>
    <t>Owners of Bidder Entity or Project</t>
  </si>
  <si>
    <t>Name</t>
  </si>
  <si>
    <t>Ownership %</t>
  </si>
  <si>
    <t>Website URL</t>
  </si>
  <si>
    <t>Signature Pages</t>
  </si>
  <si>
    <t>Acknowledgment of RFP Protocol</t>
  </si>
  <si>
    <t>By selecting "yes," bidder hereby agree to the terms of the Solicitation Protocol. Bidder acknowledges that any costs incurred to become eligibile or remain eligibile for the solicitation, and any costs incurred to prepare for an offer for this RFP are solely the responibility of the Bidder.</t>
  </si>
  <si>
    <t>Select "Yes" to certify that the typed name acts as your electronic signature.</t>
  </si>
  <si>
    <t xml:space="preserve">Electronic Signature  </t>
  </si>
  <si>
    <t>Bidder Authorization</t>
  </si>
  <si>
    <t>By selecting "yes," bidder hereby confirms that they are a "duly authorized representative of Bidder."</t>
  </si>
  <si>
    <t>Attestation</t>
  </si>
  <si>
    <t>By providing the electronic signature, below, bidder hereby attests that all information provided in this Offer Package and in response to this Energy Storage RFP is true and correct to the best of Bidder's knowledge as of the date such information is provided.</t>
  </si>
  <si>
    <t>Bidder Proposal: Project Information</t>
  </si>
  <si>
    <t xml:space="preserve">Legal Project Name  </t>
  </si>
  <si>
    <t xml:space="preserve">Latitude  </t>
  </si>
  <si>
    <t xml:space="preserve">Longitude  </t>
  </si>
  <si>
    <t xml:space="preserve">Interconnecting Utility  </t>
  </si>
  <si>
    <t xml:space="preserve">Interconnection Point  </t>
  </si>
  <si>
    <t xml:space="preserve">Interconnection Voltage (kV)  </t>
  </si>
  <si>
    <t xml:space="preserve">Interconnection Queue Number  </t>
  </si>
  <si>
    <t xml:space="preserve">Expected Interconnection Approval Date  </t>
  </si>
  <si>
    <t xml:space="preserve">Site Control  </t>
  </si>
  <si>
    <t xml:space="preserve">Is project to be co-located with existing generation?  </t>
  </si>
  <si>
    <t xml:space="preserve">Permitting  </t>
  </si>
  <si>
    <t xml:space="preserve">Expected Commercial Operations Date (COD)  </t>
  </si>
  <si>
    <t>Technical Specifications</t>
  </si>
  <si>
    <t xml:space="preserve">Storage Method  </t>
  </si>
  <si>
    <t>Other Method:</t>
  </si>
  <si>
    <t xml:space="preserve">Storage Technology  </t>
  </si>
  <si>
    <t>Other Technology:</t>
  </si>
  <si>
    <t>Other Sub-Technology:</t>
  </si>
  <si>
    <t xml:space="preserve">Battery Chemistry (if applicable):    </t>
  </si>
  <si>
    <t>Other Chemistry:</t>
  </si>
  <si>
    <t xml:space="preserve">Nameplate Capacity (MW)  </t>
  </si>
  <si>
    <t xml:space="preserve">Nameplate Energy (MWh)  </t>
  </si>
  <si>
    <t xml:space="preserve">Cycle Life (Cycles)  </t>
  </si>
  <si>
    <t>Degradation Information</t>
  </si>
  <si>
    <t>Expected Technical Specs at Beginning of Each Operational Year</t>
  </si>
  <si>
    <t>Operational Year</t>
  </si>
  <si>
    <t>Usable Power Capacity (MW)</t>
  </si>
  <si>
    <t>Usable Energy Capacity (MWh)</t>
  </si>
  <si>
    <t>Cycle Life By Depth of Discharge (leave blank if this does not apply)</t>
  </si>
  <si>
    <t>Depth of Discharge (%)</t>
  </si>
  <si>
    <t>Number of Cycles to Reach 80% State of Health</t>
  </si>
  <si>
    <t>This cycle life curve, along with calendar degradation will be used to validate the expected usable energy capacity of the storage system by year (above) based on the use case. Please enter the number of cycles it would take to degrade the system from its beginning of life (BOL) usable energy capacity to 80% of its BOL usable energy capacity. Each entry is independent - it might take 3000 cycles at 100% Depth of discharge or 5000 cycles at 70% depth of discharge as an example.</t>
  </si>
  <si>
    <t>Calendar Degradation</t>
  </si>
  <si>
    <t>Energy Capacity Lost Due to Calendar Degradation (%/year) (Do not include any cycling degradation here)</t>
  </si>
  <si>
    <t>This input represents the fraction of remaining usable energy capacity that is lost in each year due only to calendar degradation. Please do not include any degradation due to cycling here. If the system were not operated at all and were kept at it's expected average SOC, what percent of the remaining usable energy capacity would be lost in that year?</t>
  </si>
  <si>
    <t>Equipment Selection Equipment Selection [Phase One- List all under consideration if not selected]</t>
  </si>
  <si>
    <r>
      <rPr>
        <b/>
        <sz val="11"/>
        <color theme="1"/>
        <rFont val="Calibri"/>
        <family val="2"/>
        <scheme val="minor"/>
      </rPr>
      <t>Storage</t>
    </r>
    <r>
      <rPr>
        <sz val="11"/>
        <color theme="1"/>
        <rFont val="Calibri"/>
        <family val="2"/>
        <scheme val="minor"/>
      </rPr>
      <t xml:space="preserve"> </t>
    </r>
    <r>
      <rPr>
        <b/>
        <sz val="11"/>
        <color theme="1"/>
        <rFont val="Calibri"/>
        <family val="2"/>
        <scheme val="minor"/>
      </rPr>
      <t xml:space="preserve">Module </t>
    </r>
    <r>
      <rPr>
        <sz val="11"/>
        <color theme="1"/>
        <rFont val="Calibri"/>
        <family val="2"/>
        <scheme val="minor"/>
      </rPr>
      <t xml:space="preserve">Manufacturer:  </t>
    </r>
  </si>
  <si>
    <r>
      <rPr>
        <b/>
        <sz val="11"/>
        <color theme="1"/>
        <rFont val="Calibri"/>
        <family val="2"/>
        <scheme val="minor"/>
      </rPr>
      <t>Storage</t>
    </r>
    <r>
      <rPr>
        <sz val="11"/>
        <color theme="1"/>
        <rFont val="Calibri"/>
        <family val="2"/>
        <scheme val="minor"/>
      </rPr>
      <t xml:space="preserve"> </t>
    </r>
    <r>
      <rPr>
        <b/>
        <sz val="11"/>
        <color theme="1"/>
        <rFont val="Calibri"/>
        <family val="2"/>
        <scheme val="minor"/>
      </rPr>
      <t xml:space="preserve">Module </t>
    </r>
    <r>
      <rPr>
        <sz val="11"/>
        <color theme="1"/>
        <rFont val="Calibri"/>
        <family val="2"/>
        <scheme val="minor"/>
      </rPr>
      <t xml:space="preserve">Model:  </t>
    </r>
  </si>
  <si>
    <r>
      <rPr>
        <b/>
        <sz val="11"/>
        <color theme="1"/>
        <rFont val="Calibri"/>
        <family val="2"/>
        <scheme val="minor"/>
      </rPr>
      <t xml:space="preserve">Power Conversion System </t>
    </r>
    <r>
      <rPr>
        <sz val="11"/>
        <color theme="1"/>
        <rFont val="Calibri"/>
        <family val="2"/>
        <scheme val="minor"/>
      </rPr>
      <t xml:space="preserve">Manufacturer:  </t>
    </r>
  </si>
  <si>
    <r>
      <t xml:space="preserve">Power Conversion System </t>
    </r>
    <r>
      <rPr>
        <sz val="11"/>
        <color theme="1"/>
        <rFont val="Calibri"/>
        <family val="2"/>
        <scheme val="minor"/>
      </rPr>
      <t xml:space="preserve">Model:  </t>
    </r>
  </si>
  <si>
    <r>
      <rPr>
        <b/>
        <sz val="11"/>
        <color theme="1"/>
        <rFont val="Calibri"/>
        <family val="2"/>
        <scheme val="minor"/>
      </rPr>
      <t>Revenue Grade Meter</t>
    </r>
    <r>
      <rPr>
        <sz val="11"/>
        <color theme="1"/>
        <rFont val="Calibri"/>
        <family val="2"/>
        <scheme val="minor"/>
      </rPr>
      <t xml:space="preserve"> Manufacturer:  </t>
    </r>
  </si>
  <si>
    <r>
      <rPr>
        <b/>
        <sz val="11"/>
        <color theme="1"/>
        <rFont val="Calibri"/>
        <family val="2"/>
        <scheme val="minor"/>
      </rPr>
      <t>Revenue Grade Meter</t>
    </r>
    <r>
      <rPr>
        <sz val="11"/>
        <color theme="1"/>
        <rFont val="Calibri"/>
        <family val="2"/>
        <scheme val="minor"/>
      </rPr>
      <t xml:space="preserve"> Model:</t>
    </r>
  </si>
  <si>
    <r>
      <rPr>
        <b/>
        <sz val="11"/>
        <color theme="1"/>
        <rFont val="Calibri"/>
        <family val="2"/>
        <scheme val="minor"/>
      </rPr>
      <t>Controller</t>
    </r>
    <r>
      <rPr>
        <sz val="11"/>
        <color theme="1"/>
        <rFont val="Calibri"/>
        <family val="2"/>
        <scheme val="minor"/>
      </rPr>
      <t xml:space="preserve"> Manufacturer:  </t>
    </r>
  </si>
  <si>
    <r>
      <rPr>
        <b/>
        <sz val="11"/>
        <color theme="1"/>
        <rFont val="Calibri"/>
        <family val="2"/>
        <scheme val="minor"/>
      </rPr>
      <t>Controller</t>
    </r>
    <r>
      <rPr>
        <sz val="11"/>
        <color theme="1"/>
        <rFont val="Calibri"/>
        <family val="2"/>
        <scheme val="minor"/>
      </rPr>
      <t xml:space="preserve"> Model:</t>
    </r>
  </si>
  <si>
    <t>SCADA Provider:</t>
  </si>
  <si>
    <t>SCADA System:</t>
  </si>
  <si>
    <t>Additional Equipment/Balance of Systems:</t>
  </si>
  <si>
    <t xml:space="preserve">(1) Equipment Category:  </t>
  </si>
  <si>
    <t xml:space="preserve">(1) Manufacturer:  </t>
  </si>
  <si>
    <t xml:space="preserve">(1) Model:  </t>
  </si>
  <si>
    <t xml:space="preserve">(2) Equipment Category:  </t>
  </si>
  <si>
    <t xml:space="preserve">(2) Manufacturer:  </t>
  </si>
  <si>
    <t xml:space="preserve">(2) Model:  </t>
  </si>
  <si>
    <t xml:space="preserve">(3) Equipment Category:  </t>
  </si>
  <si>
    <t xml:space="preserve">(3) Manufacturer:  </t>
  </si>
  <si>
    <t xml:space="preserve">(3) Model:  </t>
  </si>
  <si>
    <t xml:space="preserve">(4) Equipment Category:  </t>
  </si>
  <si>
    <t xml:space="preserve">(4) Manufacturer:  </t>
  </si>
  <si>
    <t xml:space="preserve">(4) Model:  </t>
  </si>
  <si>
    <t>Bidder Proposal: Project Status Summary</t>
  </si>
  <si>
    <t>Please complete the following summary table to indicate the status of these key project development milestones.</t>
  </si>
  <si>
    <t>Preliminary</t>
  </si>
  <si>
    <t>Early-Stage</t>
  </si>
  <si>
    <t>Mid-Stage</t>
  </si>
  <si>
    <t>Late-Stage</t>
  </si>
  <si>
    <t>Complete</t>
  </si>
  <si>
    <t>Letter of interest provided to property/site owner</t>
  </si>
  <si>
    <t>Preliminary negotitations with site owner underway</t>
  </si>
  <si>
    <t>Site surveys and key studies complete</t>
  </si>
  <si>
    <t>Site Control agreements 80% complete under negotiation</t>
  </si>
  <si>
    <t>Site Control agreements executed</t>
  </si>
  <si>
    <t>Y/N</t>
  </si>
  <si>
    <t>Interconnection</t>
  </si>
  <si>
    <t>No action taken</t>
  </si>
  <si>
    <t xml:space="preserve">Interconnection application submitted, queue number assigned </t>
  </si>
  <si>
    <t>Interconnection studies underway (input current study in progress)</t>
  </si>
  <si>
    <r>
      <t xml:space="preserve">Interconnection studies complete, </t>
    </r>
    <r>
      <rPr>
        <sz val="11"/>
        <rFont val="Calibri"/>
        <family val="2"/>
        <scheme val="minor"/>
      </rPr>
      <t>overall Interconnection costs</t>
    </r>
    <r>
      <rPr>
        <sz val="11"/>
        <color rgb="FF000000"/>
        <rFont val="Calibri"/>
        <family val="2"/>
        <scheme val="minor"/>
      </rPr>
      <t xml:space="preserve"> and schedule known</t>
    </r>
  </si>
  <si>
    <t>Interconnection Agreement executed</t>
  </si>
  <si>
    <t>Conducted outreach to local AHJs</t>
  </si>
  <si>
    <t>Permitting Plan and AHJ matrix complete</t>
  </si>
  <si>
    <t>Permit applications submitted</t>
  </si>
  <si>
    <t>AHJ feedback on permits received</t>
  </si>
  <si>
    <t>Permits approved by AHJ</t>
  </si>
  <si>
    <t>Engineering Design</t>
  </si>
  <si>
    <t>High level engineering work done</t>
  </si>
  <si>
    <t>Conceptual design complete</t>
  </si>
  <si>
    <t>30% design package complete</t>
  </si>
  <si>
    <t>60% design package complete (Issue For Review/Permitting)</t>
  </si>
  <si>
    <t>90% design package complete (Issue For Construction)</t>
  </si>
  <si>
    <t>Procurement</t>
  </si>
  <si>
    <t>Key equipment supplier identified</t>
  </si>
  <si>
    <t>Letter of Engagement completed</t>
  </si>
  <si>
    <t>Supply agreements under negotiation</t>
  </si>
  <si>
    <t>Term sheet complete</t>
  </si>
  <si>
    <t>Supply agreements executed for key equipment</t>
  </si>
  <si>
    <t>Construction</t>
  </si>
  <si>
    <t>Construction services contractor identified</t>
  </si>
  <si>
    <t>Construction services agreement under negotiation</t>
  </si>
  <si>
    <t>Construction services agreements executed</t>
  </si>
  <si>
    <t>Notice To Proceed issued</t>
  </si>
  <si>
    <t>Bidder Proposal: Warranty Information</t>
  </si>
  <si>
    <t>Please complete the following summary table to indicate the coverage of these key items.</t>
  </si>
  <si>
    <t>Covered Equipment</t>
  </si>
  <si>
    <t>Counterparty</t>
  </si>
  <si>
    <t>Warranty Term</t>
  </si>
  <si>
    <t>Coverage Summary</t>
  </si>
  <si>
    <t>Assumptions/Exclusions</t>
  </si>
  <si>
    <t>Notes</t>
  </si>
  <si>
    <t>Description</t>
  </si>
  <si>
    <t>Which entity is providing the warranty coverage?</t>
  </si>
  <si>
    <t>Duration of coverage, beginning at COD.</t>
  </si>
  <si>
    <t>Description of what is included in warranty coverage.</t>
  </si>
  <si>
    <t>Please list any key exclusions to the warranty coverage.</t>
  </si>
  <si>
    <t>Key Equipment</t>
  </si>
  <si>
    <t>BESS enclosures (including HVAC and fire suppression unless otherwise indicated)</t>
  </si>
  <si>
    <t>BESS battery modules</t>
  </si>
  <si>
    <t>BESS inverters</t>
  </si>
  <si>
    <t>SCADA &amp; Controls</t>
  </si>
  <si>
    <t>Balance of Plant</t>
  </si>
  <si>
    <t>MV transformers</t>
  </si>
  <si>
    <t>HV transformers</t>
  </si>
  <si>
    <t>Meters</t>
  </si>
  <si>
    <t>Controls</t>
  </si>
  <si>
    <t>(continued as needed)</t>
  </si>
  <si>
    <t>Bidder Proposal: Project Cost and Offer Price Information</t>
  </si>
  <si>
    <t>Project Costs (U.S.$)</t>
  </si>
  <si>
    <t>Capital Expenditure</t>
  </si>
  <si>
    <t xml:space="preserve">Storage Module ($)  </t>
  </si>
  <si>
    <t xml:space="preserve">Power Conversion System ($)  </t>
  </si>
  <si>
    <t xml:space="preserve">Balance of System ($)  </t>
  </si>
  <si>
    <t xml:space="preserve">SCADA &amp; Controls/Software($)  </t>
  </si>
  <si>
    <t xml:space="preserve">TOTAL Hardware Cost ($)  </t>
  </si>
  <si>
    <t>Percent of Total (%)</t>
  </si>
  <si>
    <t xml:space="preserve">Engineering, Procurement, Construction ($)  </t>
  </si>
  <si>
    <t xml:space="preserve">Permitting and Siting ($)  </t>
  </si>
  <si>
    <t xml:space="preserve">Estimated Interconnection Cost ($)  </t>
  </si>
  <si>
    <t>Operating Expenses (including maintenance, SCADA, capacity augmentation, warranty, etc.)</t>
  </si>
  <si>
    <t xml:space="preserve">Year 1 Annual Operations &amp; Maintenance (O&amp;M)  </t>
  </si>
  <si>
    <t xml:space="preserve">Year 2 Annual Operations &amp; Maintenance (O&amp;M)  </t>
  </si>
  <si>
    <t xml:space="preserve">Year 3 Annual Operations &amp; Maintenance (O&amp;M)  </t>
  </si>
  <si>
    <t xml:space="preserve">Year 4 Annual Operations &amp; Maintenance (O&amp;M)  </t>
  </si>
  <si>
    <t xml:space="preserve">Year 5 Annual Operations &amp; Maintenance (O&amp;M)  </t>
  </si>
  <si>
    <t xml:space="preserve">Year 6 Annual Operations &amp; Maintenance (O&amp;M)  </t>
  </si>
  <si>
    <t xml:space="preserve">Year 7 Annual Operations &amp; Maintenance (O&amp;M)  </t>
  </si>
  <si>
    <t xml:space="preserve">Year 8 Annual Operations &amp; Maintenance (O&amp;M)  </t>
  </si>
  <si>
    <t xml:space="preserve">Year 9 Annual Operations &amp; Maintenance (O&amp;M)  </t>
  </si>
  <si>
    <t xml:space="preserve">Year 10 Annual Operations &amp; Maintenance (O&amp;M)  </t>
  </si>
  <si>
    <t xml:space="preserve">Year 11 Annual Operations &amp; Maintenance (O&amp;M)  </t>
  </si>
  <si>
    <t xml:space="preserve">Year 12 Annual Operations &amp; Maintenance (O&amp;M)  </t>
  </si>
  <si>
    <t xml:space="preserve">Year 13 Annual Operations &amp; Maintenance (O&amp;M)  </t>
  </si>
  <si>
    <t xml:space="preserve">Year 14 Annual Operations &amp; Maintenance (O&amp;M)  </t>
  </si>
  <si>
    <t xml:space="preserve">Year 15 Annual Operations &amp; Maintenance (O&amp;M)  </t>
  </si>
  <si>
    <t xml:space="preserve">Anticipated electric distribution and electric supply charges for Station Use (Avg. $/Year)  </t>
  </si>
  <si>
    <t xml:space="preserve">Anticipated electric distribution and elecric supply charges for Storage Charging (Avg. $/Year)*  </t>
  </si>
  <si>
    <t>Offer (U.S.$)</t>
  </si>
  <si>
    <t xml:space="preserve">Offer Price  </t>
  </si>
  <si>
    <t xml:space="preserve">Initial Payment ($)  </t>
  </si>
  <si>
    <t xml:space="preserve">Years 1-15 Anniversary Payments ($)  </t>
  </si>
  <si>
    <t>* NYSEG and/or RG&amp;E will directly pay for all delivery and supply costs for battery storage charging throughout the Agreement term.</t>
  </si>
  <si>
    <t>Operational Parameters</t>
  </si>
  <si>
    <t>Parameters in this section are for the entire energy storage system. For reporting below, bidder should normalize 100% State of Charge (SoC) to be defined as point of where system has Energy Storage Capability fully available discharge and 0% State of Charge where energy stored at 100% SoC reaches 0 MWh.</t>
  </si>
  <si>
    <t>Complete each row by first making a selection in the Seasonal Variation column. If "Yes," enter values for each month. If "No," enter a single value in the Overall Value column.</t>
  </si>
  <si>
    <t>Seasonal Variation?</t>
  </si>
  <si>
    <t>Parameter</t>
  </si>
  <si>
    <t>Overall Value</t>
  </si>
  <si>
    <t>Unit(s)</t>
  </si>
  <si>
    <t>Jan</t>
  </si>
  <si>
    <t>Feb</t>
  </si>
  <si>
    <t>Mar</t>
  </si>
  <si>
    <t>Apr</t>
  </si>
  <si>
    <t>May</t>
  </si>
  <si>
    <t>Jun</t>
  </si>
  <si>
    <t>Jul</t>
  </si>
  <si>
    <t>Aug</t>
  </si>
  <si>
    <t>Sep</t>
  </si>
  <si>
    <t>Oct</t>
  </si>
  <si>
    <t>Nov</t>
  </si>
  <si>
    <t>Dec</t>
  </si>
  <si>
    <r>
      <t xml:space="preserve">Total Power Capacity - </t>
    </r>
    <r>
      <rPr>
        <i/>
        <sz val="11"/>
        <color theme="1"/>
        <rFont val="Calibri"/>
        <family val="2"/>
        <scheme val="minor"/>
      </rPr>
      <t xml:space="preserve">(Reference from Project Information Tab)  </t>
    </r>
  </si>
  <si>
    <t>MW</t>
  </si>
  <si>
    <r>
      <t xml:space="preserve">Total Energy Capacity - </t>
    </r>
    <r>
      <rPr>
        <i/>
        <sz val="11"/>
        <color theme="1"/>
        <rFont val="Calibri"/>
        <family val="2"/>
        <scheme val="minor"/>
      </rPr>
      <t xml:space="preserve">(Reference from Project Information Tab)  </t>
    </r>
  </si>
  <si>
    <t>MWh</t>
  </si>
  <si>
    <t xml:space="preserve">Dispatchable Capacity  </t>
  </si>
  <si>
    <t xml:space="preserve">Maximum State of Charge (SoC_max)  </t>
  </si>
  <si>
    <t xml:space="preserve">Minimum State of Charge (SoC_min)  </t>
  </si>
  <si>
    <t xml:space="preserve">Maximum Allowable Discharge Rate (Dmax)  </t>
  </si>
  <si>
    <t xml:space="preserve">Minimum Allowable Discharge Rate (Dmin)  </t>
  </si>
  <si>
    <t xml:space="preserve">Minimum Duration for Full Discharge (SoC_max to SoC_min)  </t>
  </si>
  <si>
    <t>Min</t>
  </si>
  <si>
    <t xml:space="preserve">Maximum Allowable Charge Rate (Cmax)  </t>
  </si>
  <si>
    <t xml:space="preserve">Minimum Allowable Charge Rate (Cmin)  </t>
  </si>
  <si>
    <t xml:space="preserve">Minimum Duration for Full Charge (SoC_min to SoC_max)  </t>
  </si>
  <si>
    <t xml:space="preserve">Maximum Power for Station Use  </t>
  </si>
  <si>
    <t>kW</t>
  </si>
  <si>
    <t xml:space="preserve">Average Daily Load for Station Use  </t>
  </si>
  <si>
    <t>kWh</t>
  </si>
  <si>
    <t>Retail Tariff for Station Power</t>
  </si>
  <si>
    <t>Enter the name of the service class and tariff you expect to serve station power</t>
  </si>
  <si>
    <t xml:space="preserve">Guaranteed Roundrip Efficiency  </t>
  </si>
  <si>
    <t>%</t>
  </si>
  <si>
    <t xml:space="preserve">Standby Self-discharge  </t>
  </si>
  <si>
    <t>%/hr</t>
  </si>
  <si>
    <t>Dispatch Time Limitations</t>
  </si>
  <si>
    <t xml:space="preserve">Notification to Start Time  </t>
  </si>
  <si>
    <t xml:space="preserve">Time to Update Dispatch Schedule  </t>
  </si>
  <si>
    <t xml:space="preserve">Minimum Run Time Per Charge Period  </t>
  </si>
  <si>
    <t xml:space="preserve">Minimum Run Time Per Discharge Period  </t>
  </si>
  <si>
    <t xml:space="preserve">Minimum Down Time Required Between Two Discharge Periods  </t>
  </si>
  <si>
    <t xml:space="preserve">Minimum Down Time Required Between Two Charge Periods  </t>
  </si>
  <si>
    <t>Response Rates (Ramp Rates)</t>
  </si>
  <si>
    <t>Dmin to Dmax</t>
  </si>
  <si>
    <t>MW / Min</t>
  </si>
  <si>
    <t>Cmin to Cmax</t>
  </si>
  <si>
    <t>Response Rate Reduction at High SoC</t>
  </si>
  <si>
    <t>Min %</t>
  </si>
  <si>
    <t>Max %</t>
  </si>
  <si>
    <t>Avg %</t>
  </si>
  <si>
    <t>High SoC (MWh)</t>
  </si>
  <si>
    <t>Response Rate Reduction at Low SoC</t>
  </si>
  <si>
    <t>Low SoC (MWh)</t>
  </si>
  <si>
    <t>Cycle Limitations</t>
  </si>
  <si>
    <t>#</t>
  </si>
  <si>
    <t>Ancillary Services</t>
  </si>
  <si>
    <t>Normal Response Rate (Ramp Rate)</t>
  </si>
  <si>
    <t>MW/min</t>
  </si>
  <si>
    <t>Minimum Operating Range</t>
  </si>
  <si>
    <t>Maximum Operating Range</t>
  </si>
  <si>
    <t>Beginning Energy Level</t>
  </si>
  <si>
    <t>Ancillary Services Capacity</t>
  </si>
  <si>
    <t>Emergency Response Rate (Ramp Rate)</t>
  </si>
  <si>
    <r>
      <rPr>
        <b/>
        <i/>
        <sz val="11"/>
        <color theme="1"/>
        <rFont val="Calibri"/>
        <family val="2"/>
        <scheme val="minor"/>
      </rPr>
      <t xml:space="preserve">Instructions: </t>
    </r>
    <r>
      <rPr>
        <sz val="11"/>
        <color theme="1"/>
        <rFont val="Calibri"/>
        <family val="2"/>
        <scheme val="minor"/>
      </rPr>
      <t>Please indicate what elements of the scope  have been considered in the bid, and the intended division of responsibilities among the bidding team. Brief comments may be added to clarify scope exclusions, additions, shared scope responsibility, or other relevant information. Columns may be added for additional subcontractors as needed.  In the Warranty section, items within  the "Standard Warranty" category are meant for those items included in the Energy Storage Service Agreement, any optional or long-term warranty items should be included in the "Extended Warranty" category.  Further details can be included in the Warranty Summary tab.</t>
    </r>
    <r>
      <rPr>
        <b/>
        <i/>
        <sz val="11"/>
        <color theme="1"/>
        <rFont val="Calibri"/>
        <family val="2"/>
        <scheme val="minor"/>
      </rPr>
      <t xml:space="preserve">
Note</t>
    </r>
    <r>
      <rPr>
        <sz val="11"/>
        <color theme="1"/>
        <rFont val="Calibri"/>
        <family val="2"/>
        <scheme val="minor"/>
      </rPr>
      <t xml:space="preserve">: This checklist is for the benefit of the Bidder to clearly communicate the thoroughness of the package. The </t>
    </r>
    <r>
      <rPr>
        <b/>
        <sz val="11"/>
        <color theme="1"/>
        <rFont val="Calibri"/>
        <family val="2"/>
        <scheme val="minor"/>
      </rPr>
      <t>scope list is non-exhaustive and may not be inclusive of all components</t>
    </r>
    <r>
      <rPr>
        <sz val="11"/>
        <color theme="1"/>
        <rFont val="Calibri"/>
        <family val="2"/>
        <scheme val="minor"/>
      </rPr>
      <t xml:space="preserve"> associated with the development of a specific project.</t>
    </r>
  </si>
  <si>
    <t>Scope Check</t>
  </si>
  <si>
    <t>Responsible Party</t>
  </si>
  <si>
    <t>Comments</t>
  </si>
  <si>
    <t>Scope Review</t>
  </si>
  <si>
    <t>Included in Offer Price?</t>
  </si>
  <si>
    <t>[Bidder Name]</t>
  </si>
  <si>
    <t>[Integrator Name]</t>
  </si>
  <si>
    <t>[Subcontractor Name]</t>
  </si>
  <si>
    <t>Preliminary Site Work</t>
  </si>
  <si>
    <t>Site surveying, geotechnical investigation</t>
  </si>
  <si>
    <t>Grounding study</t>
  </si>
  <si>
    <t>Engineering Design &amp; Studies</t>
  </si>
  <si>
    <t>Site survey, geotechnical testing</t>
  </si>
  <si>
    <t xml:space="preserve">Civil/structural design </t>
  </si>
  <si>
    <t>BESS electrical design</t>
  </si>
  <si>
    <t>Protection studies: DC arc flash study</t>
  </si>
  <si>
    <t>Protection studies: all short circuit, load flow, interconnection, and arc flash</t>
  </si>
  <si>
    <t>Permitting / Interconnection</t>
  </si>
  <si>
    <t xml:space="preserve">Permitting </t>
  </si>
  <si>
    <t>Equipment Procurement</t>
  </si>
  <si>
    <t>Key Equipment - Energy Storage System</t>
  </si>
  <si>
    <t>Battery enclosure</t>
  </si>
  <si>
    <t>Battery modules</t>
  </si>
  <si>
    <t>Inverter</t>
  </si>
  <si>
    <t>Integrated cooling/HVAC</t>
  </si>
  <si>
    <t>Fire suppression</t>
  </si>
  <si>
    <t xml:space="preserve">MV transformer </t>
  </si>
  <si>
    <t>HV transformer</t>
  </si>
  <si>
    <t>Controller/BMS device</t>
  </si>
  <si>
    <t>Site civil works including: grading, foundations, fencing, drainage, etc.</t>
  </si>
  <si>
    <t>Connections: LV lines between batteries and inverters</t>
  </si>
  <si>
    <t>Connections: LV lines between inverters and MV transformers</t>
  </si>
  <si>
    <t>Connections: MV lines from MV transformer to MVD/GPS</t>
  </si>
  <si>
    <t>Power/revenue meter</t>
  </si>
  <si>
    <t>MV switchgear</t>
  </si>
  <si>
    <t>Control house</t>
  </si>
  <si>
    <t>Auxiliary power supply</t>
  </si>
  <si>
    <t xml:space="preserve">Auxiliary power cabling </t>
  </si>
  <si>
    <t>Interconnection works, from MV switchgear to utility POI</t>
  </si>
  <si>
    <t>Gas detection options</t>
  </si>
  <si>
    <t>Protection: MV protection devices</t>
  </si>
  <si>
    <t>Protection: Ground grid</t>
  </si>
  <si>
    <t xml:space="preserve">Protection: Lightning protection system </t>
  </si>
  <si>
    <t>Outdoor lighting</t>
  </si>
  <si>
    <t>Comms &amp; Controls</t>
  </si>
  <si>
    <t>Communications cabling to BESS controller</t>
  </si>
  <si>
    <t>Internet connection to Bidder server rack</t>
  </si>
  <si>
    <t>BESS operating system</t>
  </si>
  <si>
    <t>Freight and Logistics</t>
  </si>
  <si>
    <t>Equipment Shipping</t>
  </si>
  <si>
    <t>Customs clearing</t>
  </si>
  <si>
    <t>Import duties</t>
  </si>
  <si>
    <t>Local freight</t>
  </si>
  <si>
    <t>Installation</t>
  </si>
  <si>
    <t>On-site work</t>
  </si>
  <si>
    <t>Unloading, rigging and installation of core BESS equipment</t>
  </si>
  <si>
    <t>Unloading, rigging and installation of Balance of Plant equipment and material</t>
  </si>
  <si>
    <t>BESS module assembly: on-site vs. factory</t>
  </si>
  <si>
    <t>Integration of BESS with existing site energy managment sytems (EMS)</t>
  </si>
  <si>
    <t>Construction management services</t>
  </si>
  <si>
    <t xml:space="preserve">Electrical </t>
  </si>
  <si>
    <t>Integration and engineering for all bidder-supplied equipment</t>
  </si>
  <si>
    <t>Installation and termination of electrical and communications connections within bidder-supplied equipment</t>
  </si>
  <si>
    <t>Commissioning</t>
  </si>
  <si>
    <t>Commissioning of BESS equipment and controls</t>
  </si>
  <si>
    <t>BESS equipment performance testing</t>
  </si>
  <si>
    <t>Training for operating staff</t>
  </si>
  <si>
    <t>De-commissioning</t>
  </si>
  <si>
    <t>Operations &amp; Maintenance</t>
  </si>
  <si>
    <t>Standard service offering</t>
  </si>
  <si>
    <t>Additional service agreement</t>
  </si>
  <si>
    <t>Warranty</t>
  </si>
  <si>
    <t>Standard warranty</t>
  </si>
  <si>
    <t>Availability Guarantee</t>
  </si>
  <si>
    <t>Capacity Guarantee</t>
  </si>
  <si>
    <t>BMS &amp; controls</t>
  </si>
  <si>
    <t>MV transformer</t>
  </si>
  <si>
    <t>Extended Warranty</t>
  </si>
  <si>
    <t>Sustainability</t>
  </si>
  <si>
    <t>Responsible Minerals Procurement</t>
  </si>
  <si>
    <t>BESS recycling available</t>
  </si>
  <si>
    <t>Cost to ship batteries to recycling facility</t>
  </si>
  <si>
    <t>Cost to recycle batteries</t>
  </si>
  <si>
    <t>Project Experience</t>
  </si>
  <si>
    <t xml:space="preserve">Please provide details on recent BESS projects completed. </t>
  </si>
  <si>
    <t>Aggregate Battery Storage Deployments</t>
  </si>
  <si>
    <t>Global Total</t>
  </si>
  <si>
    <t>BESS Capacity Deployed</t>
  </si>
  <si>
    <t>International Markets</t>
  </si>
  <si>
    <t>Total BESS capacity deployed (MW)</t>
  </si>
  <si>
    <t>Specify which country on column C</t>
  </si>
  <si>
    <t>Country 1</t>
  </si>
  <si>
    <t>Country 2</t>
  </si>
  <si>
    <t>Country 3</t>
  </si>
  <si>
    <t>Country 4</t>
  </si>
  <si>
    <t>Country 5</t>
  </si>
  <si>
    <t>US Market</t>
  </si>
  <si>
    <t xml:space="preserve">Total US BESS deployment </t>
  </si>
  <si>
    <t xml:space="preserve">Total by US state </t>
  </si>
  <si>
    <t>State 1</t>
  </si>
  <si>
    <t>Specify which state on column C</t>
  </si>
  <si>
    <t>State 2</t>
  </si>
  <si>
    <t>State 3</t>
  </si>
  <si>
    <t>State 4</t>
  </si>
  <si>
    <t>State 5</t>
  </si>
  <si>
    <t xml:space="preserve"> Battery Storage Projects by Type</t>
  </si>
  <si>
    <t>All Geographies</t>
  </si>
  <si>
    <t>Grid Following, medium/high voltage</t>
  </si>
  <si>
    <t>Behind the meter/low voltage</t>
  </si>
  <si>
    <t>Microgrid</t>
  </si>
  <si>
    <t>Project Size</t>
  </si>
  <si>
    <t>Less than 5MW</t>
  </si>
  <si>
    <t>Between 5MW to 20MW</t>
  </si>
  <si>
    <t>Between 20MW to 100MW</t>
  </si>
  <si>
    <t>Greater than 100MW</t>
  </si>
  <si>
    <t>Battery Storage Performance</t>
  </si>
  <si>
    <t>Please provide details on the performance of completed battery storage projects in the field.</t>
  </si>
  <si>
    <t>Reliability</t>
  </si>
  <si>
    <t>Project Uptime</t>
  </si>
  <si>
    <t>Total capacity installed (MW)</t>
  </si>
  <si>
    <t>Planned outage time (hr)</t>
  </si>
  <si>
    <t>Unplanned outage time (hr)</t>
  </si>
  <si>
    <t>Warranty &amp; Maintenance</t>
  </si>
  <si>
    <t>Claims filed to bidder (#)</t>
  </si>
  <si>
    <t>Average claim value ($)</t>
  </si>
  <si>
    <t>Average O&amp;M response time (hr)</t>
  </si>
  <si>
    <t>Proposed Equipment</t>
  </si>
  <si>
    <t xml:space="preserve">The following questions pertain to the specific configuration proposed in the Bidder's response to this RFP. </t>
  </si>
  <si>
    <t>Projects using similar configuration</t>
  </si>
  <si>
    <t>Capacity deployed of same configuration (MW)</t>
  </si>
  <si>
    <t>Capacity deployed of same modules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</si>
</sst>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7">
    <font>
      <sz val="11"/>
      <color theme="1"/>
      <name val="Calibri"/>
      <family val="2"/>
      <scheme val="minor"/>
    </font>
    <font>
      <sz val="10"/>
      <color theme="1"/>
      <name val="Arial"/>
      <family val="2"/>
    </font>
    <font>
      <b/>
      <sz val="11"/>
      <color theme="1"/>
      <name val="Calibri"/>
      <family val="2"/>
      <scheme val="minor"/>
    </font>
    <font>
      <u/>
      <sz val="11"/>
      <color theme="1"/>
      <name val="Calibri"/>
      <family val="2"/>
      <scheme val="minor"/>
    </font>
    <font>
      <b/>
      <sz val="11"/>
      <color rgb="FFFF0000"/>
      <name val="Calibri"/>
      <family val="2"/>
      <scheme val="minor"/>
    </font>
    <font>
      <b/>
      <sz val="14"/>
      <color theme="1"/>
      <name val="Calibri"/>
      <family val="2"/>
      <scheme val="minor"/>
    </font>
    <font>
      <sz val="9"/>
      <color indexed="81"/>
      <name val="Tahoma"/>
      <family val="2"/>
    </font>
    <font>
      <sz val="11"/>
      <color theme="0"/>
      <name val="Calibri"/>
      <family val="2"/>
      <scheme val="minor"/>
    </font>
    <font>
      <i/>
      <sz val="11"/>
      <color theme="1"/>
      <name val="Calibri"/>
      <family val="2"/>
      <scheme val="minor"/>
    </font>
    <font>
      <sz val="11"/>
      <color rgb="FFFF0000"/>
      <name val="Calibri"/>
      <family val="2"/>
      <scheme val="minor"/>
    </font>
    <font>
      <sz val="11"/>
      <color theme="1"/>
      <name val="Calibri"/>
      <family val="2"/>
      <scheme val="minor"/>
    </font>
    <font>
      <sz val="14"/>
      <color theme="1"/>
      <name val="Calibri"/>
      <family val="2"/>
      <scheme val="minor"/>
    </font>
    <font>
      <b/>
      <sz val="14"/>
      <color theme="9" tint="-0.249977111117893"/>
      <name val="Calibri"/>
      <family val="2"/>
      <scheme val="minor"/>
    </font>
    <font>
      <sz val="11"/>
      <color theme="9" tint="-0.249977111117893"/>
      <name val="Calibri"/>
      <family val="2"/>
      <scheme val="minor"/>
    </font>
    <font>
      <b/>
      <i/>
      <sz val="12"/>
      <color theme="9" tint="-0.249977111117893"/>
      <name val="Calibri"/>
      <family val="2"/>
      <scheme val="minor"/>
    </font>
    <font>
      <b/>
      <i/>
      <sz val="11"/>
      <color theme="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sz val="10"/>
      <color theme="1"/>
      <name val="Calibri"/>
      <family val="2"/>
      <scheme val="minor"/>
    </font>
    <font>
      <b/>
      <i/>
      <sz val="10"/>
      <color theme="1"/>
      <name val="Calibri"/>
      <family val="2"/>
      <scheme val="minor"/>
    </font>
    <font>
      <sz val="11"/>
      <color theme="1"/>
      <name val="Calibri"/>
      <family val="2"/>
    </font>
    <font>
      <b/>
      <sz val="14"/>
      <color theme="1"/>
      <name val="Calibri"/>
      <family val="2"/>
    </font>
    <font>
      <i/>
      <sz val="11"/>
      <color theme="1"/>
      <name val="Calibri"/>
      <family val="2"/>
    </font>
    <font>
      <b/>
      <sz val="11"/>
      <color rgb="FF000000"/>
      <name val="Calibri"/>
      <family val="2"/>
    </font>
    <font>
      <b/>
      <sz val="11"/>
      <color theme="1"/>
      <name val="Calibri"/>
      <family val="2"/>
    </font>
    <font>
      <sz val="11"/>
      <color rgb="FF000000"/>
      <name val="Calibri"/>
      <family val="2"/>
    </font>
  </fonts>
  <fills count="15">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rgb="FF000000"/>
      </patternFill>
    </fill>
    <fill>
      <patternFill patternType="solid">
        <fgColor rgb="FFD9D9D9"/>
        <bgColor rgb="FF000000"/>
      </patternFill>
    </fill>
    <fill>
      <patternFill patternType="solid">
        <fgColor rgb="FF00B050"/>
        <bgColor rgb="FF000000"/>
      </patternFill>
    </fill>
    <fill>
      <patternFill patternType="solid">
        <fgColor rgb="FFFFFF00"/>
        <bgColor rgb="FFD9D9D9"/>
      </patternFill>
    </fill>
    <fill>
      <patternFill patternType="solid">
        <fgColor rgb="FFF3F3F3"/>
        <bgColor rgb="FFF3F3F3"/>
      </patternFill>
    </fill>
    <fill>
      <patternFill patternType="solid">
        <fgColor rgb="FF00B050"/>
        <bgColor rgb="FFD9D9D9"/>
      </patternFill>
    </fill>
    <fill>
      <patternFill patternType="solid">
        <fgColor rgb="FFFFFFFF"/>
        <bgColor rgb="FFFFFFFF"/>
      </patternFill>
    </fill>
    <fill>
      <patternFill patternType="solid">
        <fgColor rgb="FFFFFF00"/>
        <bgColor rgb="FFFFFF00"/>
      </patternFill>
    </fill>
    <fill>
      <patternFill patternType="solid">
        <fgColor rgb="FF00B050"/>
        <bgColor rgb="FFCCCCCC"/>
      </patternFill>
    </fill>
  </fills>
  <borders count="6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theme="1"/>
      </left>
      <right style="thin">
        <color theme="1"/>
      </right>
      <top style="thin">
        <color theme="1"/>
      </top>
      <bottom style="thin">
        <color theme="1"/>
      </bottom>
      <diagonal/>
    </border>
    <border>
      <left style="thin">
        <color indexed="64"/>
      </left>
      <right style="medium">
        <color theme="9" tint="-0.249977111117893"/>
      </right>
      <top style="thin">
        <color indexed="64"/>
      </top>
      <bottom style="thin">
        <color indexed="64"/>
      </bottom>
      <diagonal/>
    </border>
    <border>
      <left style="thin">
        <color indexed="64"/>
      </left>
      <right style="thin">
        <color indexed="64"/>
      </right>
      <top style="thin">
        <color indexed="64"/>
      </top>
      <bottom style="medium">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medium">
        <color theme="9" tint="-0.249977111117893"/>
      </right>
      <top style="thin">
        <color theme="9" tint="-0.249977111117893"/>
      </top>
      <bottom style="medium">
        <color theme="9" tint="-0.24997711111789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thin">
        <color indexed="64"/>
      </right>
      <top style="medium">
        <color rgb="FF00B050"/>
      </top>
      <bottom style="thin">
        <color indexed="64"/>
      </bottom>
      <diagonal/>
    </border>
    <border>
      <left style="thin">
        <color indexed="64"/>
      </left>
      <right style="thin">
        <color indexed="64"/>
      </right>
      <top style="medium">
        <color rgb="FF00B050"/>
      </top>
      <bottom style="thin">
        <color indexed="64"/>
      </bottom>
      <diagonal/>
    </border>
    <border>
      <left style="thin">
        <color indexed="64"/>
      </left>
      <right style="medium">
        <color rgb="FF00B050"/>
      </right>
      <top style="medium">
        <color rgb="FF00B050"/>
      </top>
      <bottom style="thin">
        <color indexed="64"/>
      </bottom>
      <diagonal/>
    </border>
    <border>
      <left style="medium">
        <color rgb="FF00B050"/>
      </left>
      <right style="thin">
        <color indexed="64"/>
      </right>
      <top style="thin">
        <color indexed="64"/>
      </top>
      <bottom/>
      <diagonal/>
    </border>
    <border>
      <left style="thin">
        <color indexed="64"/>
      </left>
      <right style="medium">
        <color rgb="FF00B050"/>
      </right>
      <top style="thin">
        <color indexed="64"/>
      </top>
      <bottom/>
      <diagonal/>
    </border>
    <border>
      <left style="medium">
        <color rgb="FF00B050"/>
      </left>
      <right style="thin">
        <color indexed="64"/>
      </right>
      <top/>
      <bottom/>
      <diagonal/>
    </border>
    <border>
      <left style="thin">
        <color indexed="64"/>
      </left>
      <right style="medium">
        <color rgb="FF00B050"/>
      </right>
      <top/>
      <bottom style="thin">
        <color indexed="64"/>
      </bottom>
      <diagonal/>
    </border>
    <border>
      <left style="medium">
        <color rgb="FF00B050"/>
      </left>
      <right/>
      <top/>
      <bottom style="thin">
        <color indexed="64"/>
      </bottom>
      <diagonal/>
    </border>
    <border>
      <left style="thin">
        <color indexed="64"/>
      </left>
      <right style="medium">
        <color rgb="FF00B050"/>
      </right>
      <top style="thin">
        <color indexed="64"/>
      </top>
      <bottom style="thin">
        <color indexed="64"/>
      </bottom>
      <diagonal/>
    </border>
    <border>
      <left style="medium">
        <color rgb="FF00B050"/>
      </left>
      <right/>
      <top style="thin">
        <color indexed="64"/>
      </top>
      <bottom/>
      <diagonal/>
    </border>
    <border>
      <left style="medium">
        <color rgb="FF00B050"/>
      </left>
      <right/>
      <top style="thin">
        <color indexed="64"/>
      </top>
      <bottom style="medium">
        <color rgb="FF00B050"/>
      </bottom>
      <diagonal/>
    </border>
    <border>
      <left style="thin">
        <color indexed="64"/>
      </left>
      <right style="thin">
        <color indexed="64"/>
      </right>
      <top style="thin">
        <color indexed="64"/>
      </top>
      <bottom style="medium">
        <color rgb="FF00B050"/>
      </bottom>
      <diagonal/>
    </border>
    <border>
      <left style="thin">
        <color indexed="64"/>
      </left>
      <right style="medium">
        <color rgb="FF00B050"/>
      </right>
      <top style="thin">
        <color indexed="64"/>
      </top>
      <bottom style="medium">
        <color rgb="FF00B050"/>
      </bottom>
      <diagonal/>
    </border>
    <border>
      <left style="thin">
        <color rgb="FF7F7F7F"/>
      </left>
      <right style="thin">
        <color rgb="FF7F7F7F"/>
      </right>
      <top style="thin">
        <color rgb="FF7F7F7F"/>
      </top>
      <bottom style="thin">
        <color rgb="FF7F7F7F"/>
      </bottom>
      <diagonal/>
    </border>
    <border>
      <left style="medium">
        <color theme="9" tint="-0.249977111117893"/>
      </left>
      <right/>
      <top/>
      <bottom style="thin">
        <color indexed="64"/>
      </bottom>
      <diagonal/>
    </border>
    <border>
      <left/>
      <right style="medium">
        <color theme="9" tint="-0.249977111117893"/>
      </right>
      <top/>
      <bottom style="thin">
        <color indexed="64"/>
      </bottom>
      <diagonal/>
    </border>
    <border>
      <left style="thin">
        <color indexed="64"/>
      </left>
      <right style="medium">
        <color theme="9" tint="-0.249977111117893"/>
      </right>
      <top style="thin">
        <color indexed="64"/>
      </top>
      <bottom style="medium">
        <color theme="9" tint="-0.249977111117893"/>
      </bottom>
      <diagonal/>
    </border>
    <border>
      <left/>
      <right style="thin">
        <color rgb="FF7F7F7F"/>
      </right>
      <top/>
      <bottom/>
      <diagonal/>
    </border>
    <border>
      <left/>
      <right style="thin">
        <color rgb="FF7F7F7F"/>
      </right>
      <top style="thin">
        <color rgb="FF7F7F7F"/>
      </top>
      <bottom style="thin">
        <color rgb="FF7F7F7F"/>
      </bottom>
      <diagonal/>
    </border>
    <border>
      <left style="medium">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s>
  <cellStyleXfs count="7">
    <xf numFmtId="0" fontId="0" fillId="0" borderId="0"/>
    <xf numFmtId="44" fontId="10" fillId="0" borderId="0" applyFont="0" applyFill="0" applyBorder="0" applyAlignment="0" applyProtection="0"/>
    <xf numFmtId="9" fontId="10" fillId="0" borderId="0" applyFont="0" applyFill="0" applyBorder="0" applyAlignment="0" applyProtection="0"/>
    <xf numFmtId="0" fontId="1" fillId="0" borderId="0"/>
    <xf numFmtId="0" fontId="10" fillId="0" borderId="0"/>
    <xf numFmtId="44" fontId="10" fillId="0" borderId="0" applyFont="0" applyFill="0" applyBorder="0" applyAlignment="0" applyProtection="0"/>
    <xf numFmtId="9" fontId="10" fillId="0" borderId="0" applyFont="0" applyFill="0" applyBorder="0" applyAlignment="0" applyProtection="0"/>
  </cellStyleXfs>
  <cellXfs count="297">
    <xf numFmtId="0" fontId="0" fillId="0" borderId="0" xfId="0"/>
    <xf numFmtId="0" fontId="2" fillId="0" borderId="0" xfId="0" applyFont="1"/>
    <xf numFmtId="0" fontId="4" fillId="0" borderId="0" xfId="0" applyFont="1"/>
    <xf numFmtId="0" fontId="0" fillId="0" borderId="1" xfId="0" applyBorder="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0" fillId="0" borderId="0" xfId="0" quotePrefix="1"/>
    <xf numFmtId="0" fontId="0" fillId="0" borderId="9" xfId="0" applyBorder="1"/>
    <xf numFmtId="0" fontId="0" fillId="0" borderId="0" xfId="0" applyProtection="1">
      <protection locked="0"/>
    </xf>
    <xf numFmtId="0" fontId="0" fillId="0" borderId="0" xfId="0" applyAlignment="1" applyProtection="1">
      <alignment horizontal="left" vertical="center"/>
      <protection locked="0"/>
    </xf>
    <xf numFmtId="0" fontId="0" fillId="0" borderId="7" xfId="0" applyBorder="1" applyProtection="1">
      <protection locked="0"/>
    </xf>
    <xf numFmtId="0" fontId="7" fillId="0" borderId="0" xfId="0" applyFont="1"/>
    <xf numFmtId="44" fontId="0" fillId="0" borderId="0" xfId="1" applyFont="1" applyFill="1" applyBorder="1" applyProtection="1">
      <protection locked="0"/>
    </xf>
    <xf numFmtId="44" fontId="0" fillId="0" borderId="0" xfId="1" applyFont="1" applyFill="1" applyBorder="1" applyProtection="1"/>
    <xf numFmtId="0" fontId="2" fillId="0" borderId="4" xfId="0" applyFont="1" applyBorder="1"/>
    <xf numFmtId="0" fontId="2" fillId="0" borderId="6" xfId="0" applyFont="1" applyBorder="1"/>
    <xf numFmtId="0" fontId="9" fillId="0" borderId="0" xfId="0" applyFont="1"/>
    <xf numFmtId="0" fontId="0" fillId="0" borderId="0" xfId="0" applyAlignment="1">
      <alignment horizontal="right"/>
    </xf>
    <xf numFmtId="0" fontId="0" fillId="0" borderId="0" xfId="0" applyAlignment="1" applyProtection="1">
      <alignment horizontal="centerContinuous"/>
      <protection locked="0"/>
    </xf>
    <xf numFmtId="0" fontId="0" fillId="0" borderId="0" xfId="0" applyAlignment="1">
      <alignment horizontal="center"/>
    </xf>
    <xf numFmtId="0" fontId="2" fillId="0" borderId="0" xfId="0" applyFont="1" applyAlignment="1">
      <alignment horizontal="right"/>
    </xf>
    <xf numFmtId="0" fontId="0" fillId="0" borderId="0" xfId="0" applyAlignment="1">
      <alignment horizontal="left" vertical="center"/>
    </xf>
    <xf numFmtId="0" fontId="12" fillId="0" borderId="0" xfId="4" applyFont="1"/>
    <xf numFmtId="0" fontId="13" fillId="0" borderId="0" xfId="0" applyFont="1"/>
    <xf numFmtId="0" fontId="2" fillId="3" borderId="10" xfId="0" applyFont="1" applyFill="1" applyBorder="1"/>
    <xf numFmtId="0" fontId="0" fillId="3" borderId="11" xfId="0" applyFill="1" applyBorder="1"/>
    <xf numFmtId="0" fontId="0" fillId="3" borderId="12" xfId="0" applyFill="1" applyBorder="1"/>
    <xf numFmtId="0" fontId="0" fillId="0" borderId="13" xfId="0" applyBorder="1"/>
    <xf numFmtId="0" fontId="0" fillId="0" borderId="14" xfId="0" applyBorder="1"/>
    <xf numFmtId="0" fontId="0" fillId="0" borderId="15" xfId="0" applyBorder="1" applyAlignment="1">
      <alignment horizontal="left"/>
    </xf>
    <xf numFmtId="0" fontId="0" fillId="0" borderId="16" xfId="0" applyBorder="1"/>
    <xf numFmtId="0" fontId="0" fillId="0" borderId="17" xfId="0" applyBorder="1"/>
    <xf numFmtId="0" fontId="12" fillId="0" borderId="10" xfId="0" applyFont="1" applyBorder="1"/>
    <xf numFmtId="0" fontId="12" fillId="0" borderId="11" xfId="4" applyFont="1" applyBorder="1"/>
    <xf numFmtId="0" fontId="0" fillId="0" borderId="11" xfId="0" applyBorder="1"/>
    <xf numFmtId="0" fontId="0" fillId="0" borderId="12" xfId="0" applyBorder="1"/>
    <xf numFmtId="0" fontId="14" fillId="0" borderId="13" xfId="0" applyFont="1" applyBorder="1"/>
    <xf numFmtId="0" fontId="4" fillId="0" borderId="15" xfId="0" applyFont="1" applyBorder="1"/>
    <xf numFmtId="0" fontId="2" fillId="0" borderId="13" xfId="0" applyFont="1" applyBorder="1"/>
    <xf numFmtId="0" fontId="0" fillId="0" borderId="13" xfId="0" applyBorder="1" applyAlignment="1">
      <alignment horizontal="left" vertical="top" wrapText="1"/>
    </xf>
    <xf numFmtId="0" fontId="0" fillId="0" borderId="15" xfId="0" applyBorder="1"/>
    <xf numFmtId="0" fontId="12" fillId="0" borderId="10" xfId="4" applyFont="1" applyBorder="1"/>
    <xf numFmtId="0" fontId="11" fillId="0" borderId="11" xfId="0" applyFont="1" applyBorder="1"/>
    <xf numFmtId="0" fontId="14" fillId="0" borderId="13" xfId="4" applyFont="1" applyBorder="1"/>
    <xf numFmtId="0" fontId="3" fillId="0" borderId="13" xfId="0" applyFont="1" applyBorder="1"/>
    <xf numFmtId="0" fontId="0" fillId="0" borderId="16" xfId="0" applyBorder="1" applyProtection="1">
      <protection locked="0"/>
    </xf>
    <xf numFmtId="0" fontId="15" fillId="0" borderId="13" xfId="0" applyFont="1" applyBorder="1"/>
    <xf numFmtId="0" fontId="2" fillId="3" borderId="11" xfId="0" applyFont="1" applyFill="1" applyBorder="1"/>
    <xf numFmtId="0" fontId="2" fillId="3" borderId="12" xfId="0" applyFont="1" applyFill="1" applyBorder="1"/>
    <xf numFmtId="0" fontId="0" fillId="0" borderId="14" xfId="0" applyBorder="1" applyProtection="1">
      <protection locked="0"/>
    </xf>
    <xf numFmtId="0" fontId="0" fillId="0" borderId="17" xfId="0" applyBorder="1" applyProtection="1">
      <protection locked="0"/>
    </xf>
    <xf numFmtId="0" fontId="2" fillId="0" borderId="18" xfId="0" applyFont="1" applyBorder="1"/>
    <xf numFmtId="0" fontId="4" fillId="0" borderId="19" xfId="0" applyFont="1" applyBorder="1"/>
    <xf numFmtId="0" fontId="0" fillId="0" borderId="20" xfId="0" applyBorder="1"/>
    <xf numFmtId="0" fontId="0" fillId="0" borderId="13" xfId="0" applyBorder="1" applyAlignment="1">
      <alignment horizontal="left" wrapText="1"/>
    </xf>
    <xf numFmtId="0" fontId="0" fillId="0" borderId="0" xfId="0" applyAlignment="1" applyProtection="1">
      <alignment horizontal="center" vertical="center"/>
      <protection locked="0"/>
    </xf>
    <xf numFmtId="0" fontId="0" fillId="0" borderId="16" xfId="0" applyBorder="1" applyAlignment="1">
      <alignment horizontal="center" wrapText="1"/>
    </xf>
    <xf numFmtId="0" fontId="15" fillId="0" borderId="10" xfId="0" applyFont="1" applyBorder="1"/>
    <xf numFmtId="0" fontId="0" fillId="0" borderId="13" xfId="0" applyBorder="1" applyAlignment="1">
      <alignment horizontal="right"/>
    </xf>
    <xf numFmtId="0" fontId="2" fillId="3" borderId="0" xfId="0" applyFont="1" applyFill="1"/>
    <xf numFmtId="0" fontId="0" fillId="0" borderId="16" xfId="0" applyBorder="1" applyAlignment="1">
      <alignment horizontal="left" vertical="center"/>
    </xf>
    <xf numFmtId="0" fontId="9" fillId="3" borderId="11" xfId="0" applyFont="1" applyFill="1" applyBorder="1"/>
    <xf numFmtId="0" fontId="9" fillId="0" borderId="16" xfId="0" applyFont="1" applyBorder="1"/>
    <xf numFmtId="0" fontId="9" fillId="0" borderId="15" xfId="0" applyFont="1" applyBorder="1"/>
    <xf numFmtId="0" fontId="2" fillId="0" borderId="0" xfId="0" applyFont="1" applyAlignment="1">
      <alignment horizontal="center" wrapText="1"/>
    </xf>
    <xf numFmtId="0" fontId="2" fillId="0" borderId="14" xfId="0" applyFont="1" applyBorder="1"/>
    <xf numFmtId="0" fontId="2" fillId="3" borderId="13" xfId="0" applyFont="1" applyFill="1" applyBorder="1"/>
    <xf numFmtId="0" fontId="0" fillId="3" borderId="14" xfId="0" applyFill="1" applyBorder="1"/>
    <xf numFmtId="0" fontId="2" fillId="3" borderId="0" xfId="0" applyFont="1" applyFill="1" applyAlignment="1">
      <alignment horizontal="center"/>
    </xf>
    <xf numFmtId="0" fontId="0" fillId="0" borderId="15" xfId="0" applyBorder="1" applyAlignment="1">
      <alignment wrapText="1"/>
    </xf>
    <xf numFmtId="0" fontId="0" fillId="0" borderId="13" xfId="0" applyBorder="1" applyAlignment="1">
      <alignment horizontal="right" wrapText="1"/>
    </xf>
    <xf numFmtId="9" fontId="0" fillId="0" borderId="14" xfId="2" applyFont="1" applyBorder="1" applyAlignment="1" applyProtection="1">
      <alignment horizontal="center"/>
    </xf>
    <xf numFmtId="0" fontId="2" fillId="3" borderId="18" xfId="0" applyFont="1" applyFill="1" applyBorder="1"/>
    <xf numFmtId="0" fontId="0" fillId="3" borderId="19" xfId="0" applyFill="1" applyBorder="1"/>
    <xf numFmtId="0" fontId="0" fillId="3" borderId="20" xfId="0" applyFill="1" applyBorder="1"/>
    <xf numFmtId="0" fontId="15" fillId="0" borderId="0" xfId="0" applyFont="1"/>
    <xf numFmtId="0" fontId="15" fillId="0" borderId="13" xfId="0" applyFont="1" applyBorder="1" applyAlignment="1">
      <alignment horizontal="left" indent="11"/>
    </xf>
    <xf numFmtId="0" fontId="2" fillId="0" borderId="15" xfId="0" applyFont="1" applyBorder="1"/>
    <xf numFmtId="0" fontId="0" fillId="0" borderId="13" xfId="0" applyBorder="1" applyAlignment="1">
      <alignment horizontal="right" vertical="center" wrapText="1"/>
    </xf>
    <xf numFmtId="0" fontId="0" fillId="0" borderId="14" xfId="0" applyBorder="1" applyAlignment="1">
      <alignment wrapText="1"/>
    </xf>
    <xf numFmtId="0" fontId="0" fillId="0" borderId="16" xfId="0" applyBorder="1" applyAlignment="1" applyProtection="1">
      <alignment horizontal="center" vertical="center"/>
      <protection locked="0"/>
    </xf>
    <xf numFmtId="0" fontId="5" fillId="3" borderId="10" xfId="0" applyFont="1" applyFill="1" applyBorder="1"/>
    <xf numFmtId="0" fontId="0" fillId="0" borderId="0" xfId="0" applyAlignment="1">
      <alignment horizontal="left" wrapText="1"/>
    </xf>
    <xf numFmtId="0" fontId="3" fillId="0" borderId="0" xfId="0" applyFont="1" applyAlignment="1">
      <alignment horizontal="right"/>
    </xf>
    <xf numFmtId="0" fontId="7" fillId="0" borderId="0" xfId="0" applyFont="1" applyProtection="1">
      <protection locked="0"/>
    </xf>
    <xf numFmtId="0" fontId="2"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wrapText="1"/>
    </xf>
    <xf numFmtId="0" fontId="2" fillId="4" borderId="0" xfId="0" applyFont="1" applyFill="1"/>
    <xf numFmtId="0" fontId="0" fillId="0" borderId="0" xfId="0" applyAlignment="1">
      <alignment vertical="top"/>
    </xf>
    <xf numFmtId="0" fontId="8" fillId="0" borderId="24" xfId="0" applyFont="1" applyBorder="1" applyAlignment="1">
      <alignment wrapText="1"/>
    </xf>
    <xf numFmtId="0" fontId="8" fillId="5" borderId="24" xfId="0" applyFont="1" applyFill="1" applyBorder="1" applyAlignment="1">
      <alignment wrapText="1"/>
    </xf>
    <xf numFmtId="0" fontId="8" fillId="0" borderId="25" xfId="0" applyFont="1" applyBorder="1" applyAlignment="1">
      <alignment horizontal="right"/>
    </xf>
    <xf numFmtId="0" fontId="8" fillId="0" borderId="26" xfId="0" applyFont="1" applyBorder="1" applyAlignment="1">
      <alignment wrapText="1"/>
    </xf>
    <xf numFmtId="0" fontId="2" fillId="5" borderId="25" xfId="0" applyFont="1" applyFill="1" applyBorder="1" applyAlignment="1">
      <alignment horizontal="left" wrapText="1"/>
    </xf>
    <xf numFmtId="0" fontId="8" fillId="5" borderId="26" xfId="0" applyFont="1" applyFill="1" applyBorder="1" applyAlignment="1">
      <alignment wrapText="1"/>
    </xf>
    <xf numFmtId="0" fontId="0" fillId="0" borderId="25" xfId="0" applyBorder="1" applyAlignment="1">
      <alignment horizontal="left" vertical="top" wrapText="1"/>
    </xf>
    <xf numFmtId="0" fontId="0" fillId="0" borderId="25" xfId="0" applyBorder="1" applyAlignment="1">
      <alignment vertical="top" wrapText="1"/>
    </xf>
    <xf numFmtId="0" fontId="0" fillId="0" borderId="25" xfId="0" applyBorder="1" applyAlignment="1">
      <alignment wrapText="1"/>
    </xf>
    <xf numFmtId="0" fontId="0" fillId="0" borderId="27" xfId="0" applyBorder="1" applyAlignment="1">
      <alignment wrapText="1"/>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0" borderId="13" xfId="0" applyFont="1" applyBorder="1" applyAlignment="1">
      <alignment horizontal="right"/>
    </xf>
    <xf numFmtId="0" fontId="2" fillId="0" borderId="13" xfId="0" applyFont="1"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right" vertical="center"/>
    </xf>
    <xf numFmtId="0" fontId="0" fillId="0" borderId="14"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44" fontId="0" fillId="2" borderId="0" xfId="1" applyFont="1" applyFill="1" applyBorder="1" applyProtection="1">
      <protection locked="0"/>
    </xf>
    <xf numFmtId="0" fontId="17" fillId="7" borderId="9" xfId="0" applyFont="1" applyFill="1" applyBorder="1" applyAlignment="1">
      <alignment vertical="top" wrapText="1"/>
    </xf>
    <xf numFmtId="0" fontId="16" fillId="7" borderId="9" xfId="0" applyFont="1" applyFill="1" applyBorder="1" applyAlignment="1">
      <alignment vertical="top" wrapText="1"/>
    </xf>
    <xf numFmtId="0" fontId="17" fillId="0" borderId="9" xfId="0" applyFont="1" applyBorder="1" applyAlignment="1">
      <alignment vertical="top" wrapText="1"/>
    </xf>
    <xf numFmtId="0" fontId="17" fillId="7" borderId="30" xfId="0" applyFont="1" applyFill="1" applyBorder="1" applyAlignment="1">
      <alignment vertical="top" wrapText="1"/>
    </xf>
    <xf numFmtId="0" fontId="12" fillId="0" borderId="32" xfId="4" applyFont="1" applyBorder="1"/>
    <xf numFmtId="0" fontId="12" fillId="0" borderId="33" xfId="4" applyFont="1" applyBorder="1"/>
    <xf numFmtId="0" fontId="14" fillId="0" borderId="35" xfId="4" applyFont="1" applyBorder="1"/>
    <xf numFmtId="0" fontId="0" fillId="0" borderId="33" xfId="0" applyBorder="1"/>
    <xf numFmtId="0" fontId="0" fillId="0" borderId="34" xfId="0" applyBorder="1"/>
    <xf numFmtId="0" fontId="0" fillId="0" borderId="36" xfId="0" applyBorder="1"/>
    <xf numFmtId="0" fontId="4" fillId="0" borderId="37" xfId="0" applyFont="1" applyBorder="1"/>
    <xf numFmtId="0" fontId="0" fillId="0" borderId="38" xfId="0" applyBorder="1"/>
    <xf numFmtId="0" fontId="0" fillId="0" borderId="39" xfId="0" applyBorder="1"/>
    <xf numFmtId="0" fontId="17" fillId="0" borderId="47" xfId="0" applyFont="1" applyBorder="1" applyAlignment="1">
      <alignment horizontal="center" vertical="top"/>
    </xf>
    <xf numFmtId="0" fontId="18" fillId="7" borderId="49" xfId="0" applyFont="1" applyFill="1" applyBorder="1" applyAlignment="1">
      <alignment vertical="top"/>
    </xf>
    <xf numFmtId="0" fontId="17" fillId="7" borderId="48" xfId="0" applyFont="1" applyFill="1" applyBorder="1" applyAlignment="1">
      <alignment vertical="top" wrapText="1"/>
    </xf>
    <xf numFmtId="0" fontId="17" fillId="7" borderId="47" xfId="0" applyFont="1" applyFill="1" applyBorder="1" applyAlignment="1">
      <alignment horizontal="center" vertical="top"/>
    </xf>
    <xf numFmtId="0" fontId="18" fillId="0" borderId="49" xfId="0" applyFont="1" applyBorder="1" applyAlignment="1">
      <alignment vertical="top"/>
    </xf>
    <xf numFmtId="0" fontId="17" fillId="0" borderId="48" xfId="0" applyFont="1" applyBorder="1" applyAlignment="1">
      <alignment vertical="top" wrapText="1"/>
    </xf>
    <xf numFmtId="0" fontId="17" fillId="7" borderId="44" xfId="0" applyFont="1" applyFill="1" applyBorder="1" applyAlignment="1">
      <alignment vertical="top" wrapText="1"/>
    </xf>
    <xf numFmtId="0" fontId="17" fillId="0" borderId="50" xfId="0" applyFont="1" applyBorder="1" applyAlignment="1">
      <alignment horizontal="center" vertical="top"/>
    </xf>
    <xf numFmtId="0" fontId="17" fillId="8" borderId="40" xfId="0" applyFont="1" applyFill="1" applyBorder="1"/>
    <xf numFmtId="0" fontId="18" fillId="8" borderId="41" xfId="0" applyFont="1" applyFill="1" applyBorder="1"/>
    <xf numFmtId="0" fontId="18" fillId="8" borderId="42" xfId="0" applyFont="1" applyFill="1" applyBorder="1"/>
    <xf numFmtId="0" fontId="19" fillId="0" borderId="0" xfId="0" applyFont="1" applyAlignment="1">
      <alignment vertical="top"/>
    </xf>
    <xf numFmtId="0" fontId="0" fillId="0" borderId="0" xfId="0" applyAlignment="1">
      <alignment horizontal="center" vertical="top" wrapText="1"/>
    </xf>
    <xf numFmtId="0" fontId="19" fillId="0" borderId="0" xfId="0" applyFont="1" applyAlignment="1">
      <alignment horizontal="center" vertical="center"/>
    </xf>
    <xf numFmtId="0" fontId="2" fillId="9" borderId="9" xfId="0" applyFont="1" applyFill="1" applyBorder="1" applyAlignment="1">
      <alignment horizontal="center" vertical="center" wrapText="1"/>
    </xf>
    <xf numFmtId="0" fontId="15" fillId="0" borderId="0" xfId="0" applyFont="1" applyAlignment="1">
      <alignment horizontal="left" vertical="top"/>
    </xf>
    <xf numFmtId="0" fontId="0" fillId="0" borderId="0" xfId="0" applyAlignment="1">
      <alignment vertical="top" wrapText="1"/>
    </xf>
    <xf numFmtId="0" fontId="20" fillId="0" borderId="0" xfId="0" applyFont="1" applyAlignment="1">
      <alignment horizontal="left" vertical="top"/>
    </xf>
    <xf numFmtId="0" fontId="0" fillId="0" borderId="10" xfId="0" applyBorder="1"/>
    <xf numFmtId="0" fontId="12" fillId="0" borderId="12" xfId="4" applyFont="1" applyBorder="1"/>
    <xf numFmtId="0" fontId="12" fillId="0" borderId="14" xfId="4" applyFont="1" applyBorder="1"/>
    <xf numFmtId="0" fontId="2" fillId="11" borderId="7" xfId="0" applyFont="1" applyFill="1" applyBorder="1" applyAlignment="1">
      <alignment horizontal="center" vertical="center" wrapText="1"/>
    </xf>
    <xf numFmtId="0" fontId="5" fillId="11" borderId="10" xfId="0" applyFont="1" applyFill="1" applyBorder="1" applyAlignment="1">
      <alignment vertical="center"/>
    </xf>
    <xf numFmtId="0" fontId="15" fillId="3" borderId="11" xfId="0" applyFont="1" applyFill="1" applyBorder="1" applyAlignment="1">
      <alignment horizontal="left" vertical="top"/>
    </xf>
    <xf numFmtId="0" fontId="0" fillId="3" borderId="11" xfId="0" applyFill="1" applyBorder="1" applyAlignment="1">
      <alignment vertical="top"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55" xfId="0" applyFont="1" applyFill="1" applyBorder="1" applyAlignment="1">
      <alignment vertical="center"/>
    </xf>
    <xf numFmtId="0" fontId="2" fillId="10" borderId="13" xfId="0" applyFont="1" applyFill="1" applyBorder="1" applyAlignment="1">
      <alignment horizontal="left" vertical="top"/>
    </xf>
    <xf numFmtId="0" fontId="15" fillId="10" borderId="0" xfId="0" applyFont="1" applyFill="1" applyAlignment="1">
      <alignment horizontal="left" vertical="top"/>
    </xf>
    <xf numFmtId="0" fontId="2" fillId="10" borderId="0" xfId="0" applyFont="1" applyFill="1" applyAlignment="1">
      <alignment vertical="top" wrapText="1"/>
    </xf>
    <xf numFmtId="0" fontId="19" fillId="10" borderId="0" xfId="0" applyFont="1" applyFill="1" applyAlignment="1">
      <alignment horizontal="center" vertical="center"/>
    </xf>
    <xf numFmtId="0" fontId="19" fillId="10" borderId="14" xfId="0" applyFont="1" applyFill="1" applyBorder="1" applyAlignment="1">
      <alignment horizontal="center" vertical="center"/>
    </xf>
    <xf numFmtId="0" fontId="0" fillId="0" borderId="13" xfId="0" applyBorder="1" applyAlignment="1">
      <alignment horizontal="right" vertical="top"/>
    </xf>
    <xf numFmtId="0" fontId="2" fillId="0" borderId="13" xfId="0" applyFont="1" applyBorder="1" applyAlignment="1">
      <alignment horizontal="left" vertical="top"/>
    </xf>
    <xf numFmtId="0" fontId="2" fillId="0" borderId="13" xfId="0" applyFont="1" applyBorder="1" applyAlignment="1">
      <alignment horizontal="right" vertical="top"/>
    </xf>
    <xf numFmtId="0" fontId="15" fillId="0" borderId="0" xfId="0" applyFont="1" applyAlignment="1">
      <alignment horizontal="left"/>
    </xf>
    <xf numFmtId="0" fontId="8" fillId="0" borderId="0" xfId="0" applyFont="1" applyAlignment="1">
      <alignment horizontal="left" vertical="top" wrapText="1"/>
    </xf>
    <xf numFmtId="0" fontId="19" fillId="0" borderId="14" xfId="0" applyFont="1" applyBorder="1" applyAlignment="1">
      <alignment horizontal="center" vertical="center"/>
    </xf>
    <xf numFmtId="0" fontId="0" fillId="0" borderId="0" xfId="0" applyAlignment="1">
      <alignment wrapText="1"/>
    </xf>
    <xf numFmtId="0" fontId="0" fillId="0" borderId="13" xfId="0" applyBorder="1" applyAlignment="1">
      <alignment vertical="top"/>
    </xf>
    <xf numFmtId="0" fontId="17" fillId="0" borderId="0" xfId="0" applyFont="1" applyAlignment="1">
      <alignment wrapText="1"/>
    </xf>
    <xf numFmtId="0" fontId="2" fillId="0" borderId="0" xfId="0" applyFont="1" applyAlignment="1">
      <alignment vertical="top" wrapText="1"/>
    </xf>
    <xf numFmtId="0" fontId="15" fillId="0" borderId="0" xfId="0" applyFont="1" applyAlignment="1">
      <alignment vertical="top"/>
    </xf>
    <xf numFmtId="0" fontId="2" fillId="10" borderId="13" xfId="0" applyFont="1" applyFill="1" applyBorder="1" applyAlignment="1">
      <alignment vertical="top"/>
    </xf>
    <xf numFmtId="0" fontId="0" fillId="0" borderId="15" xfId="0" applyBorder="1" applyAlignment="1">
      <alignment vertical="top"/>
    </xf>
    <xf numFmtId="0" fontId="15" fillId="0" borderId="16" xfId="0" applyFont="1" applyBorder="1" applyAlignment="1">
      <alignment horizontal="left" vertical="top"/>
    </xf>
    <xf numFmtId="0" fontId="0" fillId="0" borderId="16" xfId="0" applyBorder="1" applyAlignment="1">
      <alignment vertical="top" wrapText="1"/>
    </xf>
    <xf numFmtId="0" fontId="21" fillId="0" borderId="0" xfId="0" applyFont="1"/>
    <xf numFmtId="0" fontId="22" fillId="0" borderId="0" xfId="0" applyFont="1"/>
    <xf numFmtId="0" fontId="23" fillId="0" borderId="0" xfId="0" applyFont="1"/>
    <xf numFmtId="44" fontId="21" fillId="0" borderId="57" xfId="0" applyNumberFormat="1" applyFont="1" applyBorder="1"/>
    <xf numFmtId="0" fontId="21" fillId="0" borderId="11" xfId="0" applyFont="1" applyBorder="1"/>
    <xf numFmtId="0" fontId="21" fillId="0" borderId="12" xfId="0" applyFont="1" applyBorder="1"/>
    <xf numFmtId="0" fontId="21" fillId="0" borderId="14" xfId="0" applyFont="1" applyBorder="1"/>
    <xf numFmtId="0" fontId="21" fillId="0" borderId="16" xfId="0" applyFont="1" applyBorder="1"/>
    <xf numFmtId="0" fontId="21" fillId="0" borderId="17" xfId="0" applyFont="1" applyBorder="1"/>
    <xf numFmtId="0" fontId="25" fillId="0" borderId="13" xfId="0" applyFont="1" applyBorder="1"/>
    <xf numFmtId="0" fontId="26" fillId="0" borderId="0" xfId="0" applyFont="1"/>
    <xf numFmtId="0" fontId="21" fillId="0" borderId="0" xfId="0" applyFont="1" applyAlignment="1">
      <alignment horizontal="center"/>
    </xf>
    <xf numFmtId="0" fontId="26" fillId="0" borderId="13" xfId="0" applyFont="1" applyBorder="1"/>
    <xf numFmtId="44" fontId="21" fillId="0" borderId="0" xfId="0" applyNumberFormat="1" applyFont="1"/>
    <xf numFmtId="0" fontId="24" fillId="0" borderId="13" xfId="0" applyFont="1" applyBorder="1"/>
    <xf numFmtId="0" fontId="26" fillId="0" borderId="0" xfId="0" applyFont="1" applyAlignment="1">
      <alignment horizontal="center"/>
    </xf>
    <xf numFmtId="0" fontId="24" fillId="12" borderId="13" xfId="0" applyFont="1" applyFill="1" applyBorder="1"/>
    <xf numFmtId="0" fontId="26" fillId="12" borderId="0" xfId="0" applyFont="1" applyFill="1"/>
    <xf numFmtId="0" fontId="26" fillId="12" borderId="0" xfId="0" applyFont="1" applyFill="1" applyAlignment="1">
      <alignment horizontal="center"/>
    </xf>
    <xf numFmtId="0" fontId="21" fillId="12" borderId="0" xfId="0" applyFont="1" applyFill="1"/>
    <xf numFmtId="0" fontId="21" fillId="12" borderId="14" xfId="0" applyFont="1" applyFill="1" applyBorder="1"/>
    <xf numFmtId="0" fontId="21" fillId="0" borderId="13" xfId="0" applyFont="1" applyBorder="1"/>
    <xf numFmtId="0" fontId="21" fillId="0" borderId="15" xfId="0" applyFont="1" applyBorder="1"/>
    <xf numFmtId="0" fontId="22" fillId="0" borderId="13" xfId="0" applyFont="1" applyBorder="1"/>
    <xf numFmtId="0" fontId="22" fillId="0" borderId="15" xfId="0" applyFont="1" applyBorder="1"/>
    <xf numFmtId="0" fontId="21" fillId="0" borderId="14" xfId="0" applyFont="1" applyBorder="1" applyAlignment="1">
      <alignment horizontal="center"/>
    </xf>
    <xf numFmtId="0" fontId="21" fillId="0" borderId="0" xfId="0" applyFont="1" applyAlignment="1">
      <alignment horizontal="left"/>
    </xf>
    <xf numFmtId="44" fontId="21" fillId="0" borderId="0" xfId="0" applyNumberFormat="1" applyFont="1" applyAlignment="1">
      <alignment horizontal="left"/>
    </xf>
    <xf numFmtId="0" fontId="21" fillId="0" borderId="14" xfId="0" applyFont="1" applyBorder="1" applyAlignment="1">
      <alignment horizontal="left"/>
    </xf>
    <xf numFmtId="0" fontId="24" fillId="14" borderId="10" xfId="0" applyFont="1" applyFill="1" applyBorder="1"/>
    <xf numFmtId="0" fontId="21" fillId="14" borderId="11" xfId="0" applyFont="1" applyFill="1" applyBorder="1"/>
    <xf numFmtId="0" fontId="21" fillId="14" borderId="12" xfId="0" applyFont="1" applyFill="1" applyBorder="1"/>
    <xf numFmtId="0" fontId="25" fillId="14" borderId="10" xfId="0" applyFont="1" applyFill="1" applyBorder="1"/>
    <xf numFmtId="0" fontId="0" fillId="0" borderId="24" xfId="0" applyBorder="1" applyAlignment="1">
      <alignment horizontal="center"/>
    </xf>
    <xf numFmtId="0" fontId="0" fillId="0" borderId="59" xfId="0" applyBorder="1"/>
    <xf numFmtId="0" fontId="0" fillId="0" borderId="60" xfId="0" applyBorder="1" applyAlignment="1">
      <alignment horizontal="center"/>
    </xf>
    <xf numFmtId="0" fontId="0" fillId="0" borderId="25" xfId="0" applyBorder="1"/>
    <xf numFmtId="0" fontId="0" fillId="0" borderId="27" xfId="0" applyBorder="1"/>
    <xf numFmtId="0" fontId="0" fillId="0" borderId="28" xfId="0" applyBorder="1" applyAlignment="1">
      <alignment horizontal="center"/>
    </xf>
    <xf numFmtId="0" fontId="2" fillId="3" borderId="19" xfId="0" applyFont="1" applyFill="1" applyBorder="1" applyAlignment="1">
      <alignment horizontal="center"/>
    </xf>
    <xf numFmtId="0" fontId="0" fillId="2" borderId="9" xfId="0" applyFill="1" applyBorder="1" applyAlignment="1" applyProtection="1">
      <alignment horizontal="center" vertical="center"/>
      <protection locked="0"/>
    </xf>
    <xf numFmtId="0" fontId="0" fillId="2" borderId="9" xfId="0" applyFill="1" applyBorder="1" applyAlignment="1" applyProtection="1">
      <alignment horizontal="right" vertical="center"/>
      <protection locked="0"/>
    </xf>
    <xf numFmtId="0" fontId="0" fillId="2" borderId="25" xfId="0" applyFill="1" applyBorder="1" applyProtection="1">
      <protection locked="0"/>
    </xf>
    <xf numFmtId="0" fontId="17" fillId="6" borderId="9" xfId="0" applyFont="1" applyFill="1" applyBorder="1" applyAlignment="1" applyProtection="1">
      <alignment vertical="top" wrapText="1"/>
      <protection locked="0"/>
    </xf>
    <xf numFmtId="0" fontId="17" fillId="6" borderId="48" xfId="0" applyFont="1" applyFill="1" applyBorder="1" applyAlignment="1" applyProtection="1">
      <alignment vertical="top" wrapText="1"/>
      <protection locked="0"/>
    </xf>
    <xf numFmtId="0" fontId="17" fillId="6" borderId="51" xfId="0" applyFont="1" applyFill="1" applyBorder="1" applyAlignment="1" applyProtection="1">
      <alignment vertical="top" wrapText="1"/>
      <protection locked="0"/>
    </xf>
    <xf numFmtId="0" fontId="17" fillId="6" borderId="52" xfId="0" applyFont="1" applyFill="1" applyBorder="1" applyAlignment="1" applyProtection="1">
      <alignment vertical="top" wrapText="1"/>
      <protection locked="0"/>
    </xf>
    <xf numFmtId="0" fontId="16" fillId="2" borderId="24" xfId="0" applyFont="1" applyFill="1" applyBorder="1" applyAlignment="1" applyProtection="1">
      <alignment vertical="top" wrapText="1"/>
      <protection locked="0"/>
    </xf>
    <xf numFmtId="0" fontId="16" fillId="2" borderId="24" xfId="0" applyFont="1" applyFill="1" applyBorder="1" applyProtection="1">
      <protection locked="0"/>
    </xf>
    <xf numFmtId="0" fontId="16" fillId="2" borderId="26" xfId="0" applyFont="1" applyFill="1" applyBorder="1" applyAlignment="1" applyProtection="1">
      <alignment vertical="top" wrapText="1"/>
      <protection locked="0"/>
    </xf>
    <xf numFmtId="0" fontId="16" fillId="2" borderId="26" xfId="0" applyFont="1" applyFill="1" applyBorder="1" applyAlignment="1" applyProtection="1">
      <alignment vertical="top"/>
      <protection locked="0"/>
    </xf>
    <xf numFmtId="0" fontId="16" fillId="2" borderId="26" xfId="0" applyFont="1" applyFill="1" applyBorder="1" applyProtection="1">
      <protection locked="0"/>
    </xf>
    <xf numFmtId="0" fontId="0" fillId="2" borderId="24" xfId="0" applyFill="1" applyBorder="1" applyProtection="1">
      <protection locked="0"/>
    </xf>
    <xf numFmtId="0" fontId="0" fillId="2" borderId="26" xfId="0" applyFill="1" applyBorder="1" applyProtection="1">
      <protection locked="0"/>
    </xf>
    <xf numFmtId="0" fontId="0" fillId="2" borderId="28" xfId="0" applyFill="1" applyBorder="1" applyProtection="1">
      <protection locked="0"/>
    </xf>
    <xf numFmtId="0" fontId="0" fillId="2" borderId="29" xfId="0" applyFill="1" applyBorder="1" applyProtection="1">
      <protection locked="0"/>
    </xf>
    <xf numFmtId="0" fontId="0" fillId="0" borderId="9" xfId="0" applyBorder="1" applyAlignment="1" applyProtection="1">
      <alignment horizontal="center"/>
      <protection locked="0"/>
    </xf>
    <xf numFmtId="0" fontId="19" fillId="0" borderId="0" xfId="0" applyFont="1" applyAlignment="1" applyProtection="1">
      <alignment horizontal="center" vertical="center"/>
      <protection locked="0"/>
    </xf>
    <xf numFmtId="0" fontId="19" fillId="2" borderId="22" xfId="0" applyFont="1" applyFill="1" applyBorder="1" applyAlignment="1" applyProtection="1">
      <alignment horizontal="center" vertical="center"/>
      <protection locked="0"/>
    </xf>
    <xf numFmtId="0" fontId="0" fillId="0" borderId="7" xfId="0" applyBorder="1" applyAlignment="1" applyProtection="1">
      <alignment horizontal="center"/>
      <protection locked="0"/>
    </xf>
    <xf numFmtId="0" fontId="0" fillId="0" borderId="16" xfId="0" applyBorder="1" applyAlignment="1" applyProtection="1">
      <alignment horizontal="center"/>
      <protection locked="0"/>
    </xf>
    <xf numFmtId="0" fontId="19" fillId="0" borderId="16" xfId="0" applyFont="1" applyBorder="1" applyAlignment="1" applyProtection="1">
      <alignment horizontal="center" vertical="center"/>
      <protection locked="0"/>
    </xf>
    <xf numFmtId="0" fontId="0" fillId="0" borderId="23" xfId="0" applyBorder="1" applyAlignment="1" applyProtection="1">
      <alignment horizontal="center"/>
      <protection locked="0"/>
    </xf>
    <xf numFmtId="0" fontId="19" fillId="2" borderId="56" xfId="0" applyFont="1" applyFill="1" applyBorder="1" applyAlignment="1" applyProtection="1">
      <alignment horizontal="center" vertical="center"/>
      <protection locked="0"/>
    </xf>
    <xf numFmtId="44" fontId="21" fillId="0" borderId="0" xfId="0" applyNumberFormat="1" applyFont="1" applyProtection="1">
      <protection locked="0"/>
    </xf>
    <xf numFmtId="44" fontId="21" fillId="13" borderId="53" xfId="0" applyNumberFormat="1" applyFont="1" applyFill="1" applyBorder="1" applyProtection="1">
      <protection locked="0"/>
    </xf>
    <xf numFmtId="44" fontId="21" fillId="0" borderId="0" xfId="0" applyNumberFormat="1" applyFont="1" applyAlignment="1" applyProtection="1">
      <alignment horizontal="left"/>
      <protection locked="0"/>
    </xf>
    <xf numFmtId="44" fontId="21" fillId="13" borderId="58" xfId="0" applyNumberFormat="1" applyFont="1" applyFill="1" applyBorder="1" applyProtection="1">
      <protection locked="0"/>
    </xf>
    <xf numFmtId="0" fontId="21" fillId="0" borderId="0" xfId="0" applyFont="1" applyAlignment="1" applyProtection="1">
      <alignment horizontal="center"/>
      <protection locked="0"/>
    </xf>
    <xf numFmtId="0" fontId="21" fillId="0" borderId="0" xfId="0" applyFont="1" applyProtection="1">
      <protection locked="0"/>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13" xfId="0" applyBorder="1" applyAlignment="1">
      <alignment horizontal="left" vertical="top" wrapText="1"/>
    </xf>
    <xf numFmtId="0" fontId="2" fillId="3" borderId="19" xfId="0" applyFont="1" applyFill="1" applyBorder="1" applyAlignment="1">
      <alignment horizontal="center"/>
    </xf>
    <xf numFmtId="0" fontId="2" fillId="3" borderId="20" xfId="0" applyFont="1" applyFill="1" applyBorder="1" applyAlignment="1">
      <alignment horizontal="center"/>
    </xf>
    <xf numFmtId="0" fontId="0" fillId="0" borderId="60" xfId="0" applyBorder="1" applyAlignment="1">
      <alignment horizontal="center"/>
    </xf>
    <xf numFmtId="0" fontId="0" fillId="0" borderId="61" xfId="0" applyBorder="1" applyAlignment="1">
      <alignment horizontal="center"/>
    </xf>
    <xf numFmtId="0" fontId="0" fillId="0" borderId="0" xfId="0" applyAlignment="1">
      <alignment horizontal="right"/>
    </xf>
    <xf numFmtId="0" fontId="0" fillId="0" borderId="0" xfId="0" applyAlignment="1">
      <alignment horizontal="center" wrapText="1"/>
    </xf>
    <xf numFmtId="0" fontId="0" fillId="0" borderId="13" xfId="0" applyBorder="1" applyAlignment="1">
      <alignment horizontal="left" wrapText="1"/>
    </xf>
    <xf numFmtId="0" fontId="0" fillId="0" borderId="0" xfId="0" applyAlignment="1">
      <alignment horizontal="left" wrapText="1"/>
    </xf>
    <xf numFmtId="0" fontId="0" fillId="2" borderId="21" xfId="0" applyFill="1" applyBorder="1" applyAlignment="1" applyProtection="1">
      <alignment horizontal="center"/>
      <protection locked="0"/>
    </xf>
    <xf numFmtId="0" fontId="2" fillId="3" borderId="13" xfId="0" applyFont="1" applyFill="1" applyBorder="1" applyAlignment="1">
      <alignment horizontal="center"/>
    </xf>
    <xf numFmtId="0" fontId="2" fillId="3" borderId="0" xfId="0" applyFont="1" applyFill="1" applyAlignment="1">
      <alignment horizontal="center"/>
    </xf>
    <xf numFmtId="0" fontId="2" fillId="3" borderId="14" xfId="0" applyFont="1" applyFill="1" applyBorder="1" applyAlignment="1">
      <alignment horizontal="center"/>
    </xf>
    <xf numFmtId="0" fontId="0" fillId="0" borderId="0" xfId="0" applyAlignment="1">
      <alignment horizontal="center" vertical="center" wrapText="1"/>
    </xf>
    <xf numFmtId="0" fontId="0" fillId="0" borderId="14" xfId="0" applyBorder="1" applyAlignment="1">
      <alignment horizontal="center" vertical="center" wrapText="1"/>
    </xf>
    <xf numFmtId="0" fontId="17" fillId="0" borderId="44" xfId="0" applyFont="1" applyBorder="1" applyAlignment="1">
      <alignment vertical="top" wrapText="1"/>
    </xf>
    <xf numFmtId="0" fontId="17" fillId="0" borderId="46" xfId="0" applyFont="1" applyBorder="1" applyAlignment="1">
      <alignment vertical="top" wrapText="1"/>
    </xf>
    <xf numFmtId="0" fontId="18" fillId="0" borderId="43" xfId="0" applyFont="1" applyBorder="1" applyAlignment="1">
      <alignment vertical="top"/>
    </xf>
    <xf numFmtId="0" fontId="18" fillId="0" borderId="45" xfId="0" applyFont="1" applyBorder="1" applyAlignment="1">
      <alignment vertical="top"/>
    </xf>
    <xf numFmtId="0" fontId="16" fillId="0" borderId="30" xfId="0" applyFont="1" applyBorder="1" applyAlignment="1">
      <alignment horizontal="left" vertical="top" wrapText="1"/>
    </xf>
    <xf numFmtId="0" fontId="16" fillId="0" borderId="31" xfId="0" applyFont="1" applyBorder="1" applyAlignment="1">
      <alignment horizontal="left" vertical="top" wrapText="1"/>
    </xf>
    <xf numFmtId="0" fontId="16" fillId="0" borderId="30" xfId="0" applyFont="1" applyBorder="1" applyAlignment="1">
      <alignment vertical="top" wrapText="1"/>
    </xf>
    <xf numFmtId="0" fontId="17" fillId="0" borderId="31" xfId="0" applyFont="1" applyBorder="1" applyAlignment="1">
      <alignment vertical="top" wrapText="1"/>
    </xf>
    <xf numFmtId="0" fontId="17" fillId="0" borderId="30" xfId="0" applyFont="1" applyBorder="1" applyAlignment="1">
      <alignment vertical="top" wrapText="1"/>
    </xf>
    <xf numFmtId="0" fontId="17" fillId="7" borderId="44" xfId="0" applyFont="1" applyFill="1" applyBorder="1" applyAlignment="1">
      <alignment vertical="top" wrapText="1"/>
    </xf>
    <xf numFmtId="0" fontId="17" fillId="7" borderId="46" xfId="0" applyFont="1" applyFill="1" applyBorder="1" applyAlignment="1">
      <alignment vertical="top" wrapText="1"/>
    </xf>
    <xf numFmtId="0" fontId="18" fillId="7" borderId="43" xfId="0" applyFont="1" applyFill="1" applyBorder="1" applyAlignment="1">
      <alignment vertical="top"/>
    </xf>
    <xf numFmtId="0" fontId="18" fillId="7" borderId="45" xfId="0" applyFont="1" applyFill="1" applyBorder="1" applyAlignment="1">
      <alignment vertical="top"/>
    </xf>
    <xf numFmtId="0" fontId="16" fillId="7" borderId="30" xfId="0" applyFont="1" applyFill="1" applyBorder="1" applyAlignment="1">
      <alignment horizontal="left" vertical="top" wrapText="1"/>
    </xf>
    <xf numFmtId="0" fontId="16" fillId="7" borderId="31" xfId="0" applyFont="1" applyFill="1" applyBorder="1" applyAlignment="1">
      <alignment horizontal="left" vertical="top" wrapText="1"/>
    </xf>
    <xf numFmtId="0" fontId="17" fillId="7" borderId="30" xfId="0" applyFont="1" applyFill="1" applyBorder="1" applyAlignment="1">
      <alignment vertical="top" wrapText="1"/>
    </xf>
    <xf numFmtId="0" fontId="17" fillId="7" borderId="31" xfId="0" applyFont="1" applyFill="1" applyBorder="1" applyAlignment="1">
      <alignment vertical="top" wrapText="1"/>
    </xf>
    <xf numFmtId="0" fontId="2" fillId="3" borderId="0" xfId="0" applyFont="1" applyFill="1" applyAlignment="1">
      <alignment horizont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2" fillId="3" borderId="11" xfId="0" applyFont="1" applyFill="1" applyBorder="1" applyAlignment="1">
      <alignment horizontal="center" vertical="center"/>
    </xf>
    <xf numFmtId="0" fontId="5" fillId="11" borderId="54" xfId="0" applyFont="1" applyFill="1" applyBorder="1" applyAlignment="1">
      <alignment horizontal="left" vertical="center"/>
    </xf>
    <xf numFmtId="0" fontId="5" fillId="11" borderId="7" xfId="0" applyFont="1" applyFill="1" applyBorder="1" applyAlignment="1">
      <alignment horizontal="left" vertical="center"/>
    </xf>
    <xf numFmtId="0" fontId="26" fillId="0" borderId="0" xfId="0" applyFont="1" applyAlignment="1">
      <alignment horizontal="center"/>
    </xf>
    <xf numFmtId="0" fontId="0" fillId="0" borderId="0" xfId="0" applyAlignment="1"/>
  </cellXfs>
  <cellStyles count="7">
    <cellStyle name="Currency" xfId="1" builtinId="4"/>
    <cellStyle name="Currency 2" xfId="5" xr:uid="{00000000-0005-0000-0000-000001000000}"/>
    <cellStyle name="Normal" xfId="0" builtinId="0"/>
    <cellStyle name="Normal 2" xfId="4" xr:uid="{00000000-0005-0000-0000-000003000000}"/>
    <cellStyle name="Normal 3" xfId="3" xr:uid="{00000000-0005-0000-0000-000004000000}"/>
    <cellStyle name="Percent" xfId="2" builtinId="5"/>
    <cellStyle name="Percent 2" xfId="6" xr:uid="{00000000-0005-0000-0000-000006000000}"/>
  </cellStyles>
  <dxfs count="109">
    <dxf>
      <fill>
        <patternFill patternType="solid">
          <fgColor rgb="FFFFFF00"/>
          <bgColor rgb="FFFFFF00"/>
        </patternFill>
      </fill>
      <border>
        <left style="thin">
          <color rgb="FF7F7F7F"/>
        </left>
        <right style="thin">
          <color rgb="FF7F7F7F"/>
        </right>
        <top style="thin">
          <color rgb="FF7F7F7F"/>
        </top>
        <bottom style="thin">
          <color rgb="FF7F7F7F"/>
        </bottom>
      </border>
    </dxf>
    <dxf>
      <fill>
        <patternFill patternType="solid">
          <fgColor rgb="FFFFFF00"/>
          <bgColor rgb="FFFFFF00"/>
        </patternFill>
      </fill>
      <border>
        <left style="thin">
          <color rgb="FF000000"/>
        </left>
        <right style="thin">
          <color rgb="FF000000"/>
        </right>
        <top style="thin">
          <color rgb="FF000000"/>
        </top>
        <bottom style="thin">
          <color rgb="FF000000"/>
        </bottom>
      </border>
    </dxf>
    <dxf>
      <fill>
        <patternFill patternType="solid">
          <fgColor rgb="FFFFFF00"/>
          <bgColor rgb="FFFFFF00"/>
        </patternFill>
      </fill>
      <border>
        <left style="thin">
          <color rgb="FF7F7F7F"/>
        </left>
        <right style="thin">
          <color rgb="FF7F7F7F"/>
        </right>
        <top style="thin">
          <color rgb="FF7F7F7F"/>
        </top>
        <bottom style="thin">
          <color rgb="FF7F7F7F"/>
        </bottom>
      </border>
    </dxf>
    <dxf>
      <fill>
        <patternFill patternType="solid">
          <fgColor rgb="FFFFFF00"/>
          <bgColor rgb="FFFFFF00"/>
        </patternFill>
      </fill>
      <border>
        <left style="thin">
          <color rgb="FF000000"/>
        </left>
        <right style="thin">
          <color rgb="FF000000"/>
        </right>
        <top style="thin">
          <color rgb="FF000000"/>
        </top>
        <bottom style="thin">
          <color rgb="FF000000"/>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auto="1"/>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auto="1"/>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auto="1"/>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auto="1"/>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auto="1"/>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auto="1"/>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patternType="none">
          <bgColor auto="1"/>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ont>
        <color auto="1"/>
      </font>
      <fill>
        <patternFill>
          <bgColor rgb="FFFFFF00"/>
        </patternFill>
      </fill>
    </dxf>
    <dxf>
      <fill>
        <patternFill>
          <bgColor theme="0"/>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ont>
        <color auto="1"/>
      </font>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
      <fill>
        <patternFill>
          <bgColor theme="9" tint="0.39994506668294322"/>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rgb="FFFFFF00"/>
        </patternFill>
      </fill>
      <border>
        <left style="thin">
          <color theme="0" tint="-0.499984740745262"/>
        </left>
        <right style="thin">
          <color theme="0" tint="-0.499984740745262"/>
        </right>
        <top style="thin">
          <color theme="0" tint="-0.499984740745262"/>
        </top>
        <bottom style="thin">
          <color theme="0" tint="-0.499984740745262"/>
        </bottom>
      </border>
    </dxf>
  </dxfs>
  <tableStyles count="0" defaultTableStyle="TableStyleMedium2" defaultPivotStyle="PivotStyleLight16"/>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E382"/>
  <sheetViews>
    <sheetView zoomScale="90" zoomScaleNormal="90" workbookViewId="0">
      <selection activeCell="D120" sqref="D120"/>
    </sheetView>
  </sheetViews>
  <sheetFormatPr defaultRowHeight="15"/>
  <cols>
    <col min="1" max="1" width="20.85546875" bestFit="1" customWidth="1"/>
    <col min="2" max="2" width="42.85546875" bestFit="1" customWidth="1"/>
    <col min="3" max="3" width="18.85546875" customWidth="1"/>
    <col min="4" max="4" width="13.85546875" bestFit="1" customWidth="1"/>
  </cols>
  <sheetData>
    <row r="1" spans="1:5">
      <c r="A1" s="1" t="s">
        <v>0</v>
      </c>
      <c r="B1" s="1" t="s">
        <v>1</v>
      </c>
      <c r="C1" s="1" t="s">
        <v>2</v>
      </c>
      <c r="D1" s="1" t="s">
        <v>3</v>
      </c>
      <c r="E1" s="1" t="s">
        <v>4</v>
      </c>
    </row>
    <row r="2" spans="1:5">
      <c r="A2" s="1" t="s">
        <v>5</v>
      </c>
      <c r="B2" t="s">
        <v>6</v>
      </c>
      <c r="C2" t="s">
        <v>7</v>
      </c>
      <c r="D2">
        <f>Part_pi_1</f>
        <v>0</v>
      </c>
      <c r="E2" t="b">
        <f t="shared" ref="E2:E8" si="0">(D2=0)</f>
        <v>1</v>
      </c>
    </row>
    <row r="3" spans="1:5">
      <c r="A3" s="1" t="s">
        <v>5</v>
      </c>
      <c r="B3" t="s">
        <v>8</v>
      </c>
      <c r="C3" t="s">
        <v>9</v>
      </c>
      <c r="D3">
        <f>Part_pi_2</f>
        <v>0</v>
      </c>
      <c r="E3" t="b">
        <f t="shared" si="0"/>
        <v>1</v>
      </c>
    </row>
    <row r="4" spans="1:5">
      <c r="A4" s="1" t="s">
        <v>5</v>
      </c>
      <c r="B4" t="s">
        <v>10</v>
      </c>
      <c r="C4" t="s">
        <v>11</v>
      </c>
      <c r="D4">
        <f>Part_pi_3</f>
        <v>0</v>
      </c>
      <c r="E4" t="b">
        <f t="shared" si="0"/>
        <v>1</v>
      </c>
    </row>
    <row r="5" spans="1:5">
      <c r="A5" s="1" t="s">
        <v>5</v>
      </c>
      <c r="B5" t="s">
        <v>12</v>
      </c>
      <c r="C5" t="s">
        <v>13</v>
      </c>
      <c r="D5">
        <f>Part_pi_4</f>
        <v>0</v>
      </c>
      <c r="E5" t="b">
        <f t="shared" si="0"/>
        <v>1</v>
      </c>
    </row>
    <row r="6" spans="1:5">
      <c r="A6" s="1" t="s">
        <v>5</v>
      </c>
      <c r="B6" t="s">
        <v>14</v>
      </c>
      <c r="C6" t="s">
        <v>15</v>
      </c>
      <c r="D6">
        <f>Part_pi_5</f>
        <v>0</v>
      </c>
      <c r="E6" t="b">
        <f t="shared" si="0"/>
        <v>1</v>
      </c>
    </row>
    <row r="7" spans="1:5">
      <c r="A7" s="1" t="s">
        <v>5</v>
      </c>
      <c r="B7" t="s">
        <v>16</v>
      </c>
      <c r="C7" t="s">
        <v>17</v>
      </c>
      <c r="D7">
        <f>Part_pi_6</f>
        <v>0</v>
      </c>
      <c r="E7" t="b">
        <f t="shared" si="0"/>
        <v>1</v>
      </c>
    </row>
    <row r="8" spans="1:5">
      <c r="A8" s="1" t="s">
        <v>5</v>
      </c>
      <c r="B8" t="s">
        <v>18</v>
      </c>
      <c r="C8" t="s">
        <v>19</v>
      </c>
      <c r="D8">
        <f>Part_pi_7</f>
        <v>0</v>
      </c>
      <c r="E8" t="b">
        <f t="shared" si="0"/>
        <v>1</v>
      </c>
    </row>
    <row r="9" spans="1:5">
      <c r="A9" s="1" t="s">
        <v>5</v>
      </c>
      <c r="B9" t="s">
        <v>20</v>
      </c>
      <c r="C9" t="s">
        <v>21</v>
      </c>
      <c r="D9" t="str">
        <f>Part_pi_8</f>
        <v>&lt;Choose&gt;</v>
      </c>
      <c r="E9" t="b">
        <f>(D9="&lt;Choose&gt;")</f>
        <v>1</v>
      </c>
    </row>
    <row r="10" spans="1:5">
      <c r="A10" s="1" t="s">
        <v>5</v>
      </c>
      <c r="B10" t="s">
        <v>22</v>
      </c>
      <c r="C10" t="s">
        <v>23</v>
      </c>
      <c r="D10">
        <f>Part_pi_9</f>
        <v>0</v>
      </c>
      <c r="E10" t="b">
        <f t="shared" ref="E10:E27" si="1">(D10=0)</f>
        <v>1</v>
      </c>
    </row>
    <row r="11" spans="1:5">
      <c r="A11" s="1" t="s">
        <v>5</v>
      </c>
      <c r="B11" t="s">
        <v>24</v>
      </c>
      <c r="C11" t="s">
        <v>25</v>
      </c>
      <c r="D11">
        <f>Part_pi_10</f>
        <v>0</v>
      </c>
      <c r="E11" t="b">
        <f t="shared" si="1"/>
        <v>1</v>
      </c>
    </row>
    <row r="12" spans="1:5">
      <c r="A12" s="1" t="s">
        <v>5</v>
      </c>
      <c r="B12" t="s">
        <v>26</v>
      </c>
      <c r="C12" t="s">
        <v>27</v>
      </c>
      <c r="D12">
        <f>Part_pi_11</f>
        <v>0</v>
      </c>
      <c r="E12" t="b">
        <f t="shared" si="1"/>
        <v>1</v>
      </c>
    </row>
    <row r="13" spans="1:5">
      <c r="A13" s="1" t="s">
        <v>5</v>
      </c>
      <c r="B13" t="s">
        <v>28</v>
      </c>
      <c r="C13" t="s">
        <v>29</v>
      </c>
      <c r="D13">
        <f>Part_pi_12</f>
        <v>0</v>
      </c>
      <c r="E13" t="b">
        <f t="shared" si="1"/>
        <v>1</v>
      </c>
    </row>
    <row r="14" spans="1:5">
      <c r="A14" s="1" t="s">
        <v>5</v>
      </c>
      <c r="B14" t="s">
        <v>30</v>
      </c>
      <c r="C14" t="s">
        <v>31</v>
      </c>
      <c r="D14">
        <f>Part_pi_13</f>
        <v>0</v>
      </c>
      <c r="E14" t="b">
        <f t="shared" si="1"/>
        <v>1</v>
      </c>
    </row>
    <row r="15" spans="1:5">
      <c r="A15" s="1" t="s">
        <v>5</v>
      </c>
      <c r="B15" t="s">
        <v>32</v>
      </c>
      <c r="C15" t="s">
        <v>33</v>
      </c>
      <c r="D15">
        <f>Part_pi_14</f>
        <v>0</v>
      </c>
      <c r="E15" t="b">
        <f t="shared" si="1"/>
        <v>1</v>
      </c>
    </row>
    <row r="16" spans="1:5">
      <c r="A16" s="1" t="s">
        <v>5</v>
      </c>
      <c r="B16" t="s">
        <v>34</v>
      </c>
      <c r="C16" t="s">
        <v>35</v>
      </c>
      <c r="D16">
        <f>Part_pi_15</f>
        <v>0</v>
      </c>
      <c r="E16" t="b">
        <f t="shared" si="1"/>
        <v>1</v>
      </c>
    </row>
    <row r="17" spans="1:5">
      <c r="A17" s="1" t="s">
        <v>5</v>
      </c>
      <c r="B17" t="s">
        <v>36</v>
      </c>
      <c r="C17" t="s">
        <v>37</v>
      </c>
      <c r="D17">
        <f>Part_pi_16</f>
        <v>0</v>
      </c>
      <c r="E17" t="b">
        <f t="shared" si="1"/>
        <v>1</v>
      </c>
    </row>
    <row r="18" spans="1:5">
      <c r="A18" s="1" t="s">
        <v>5</v>
      </c>
      <c r="B18" t="s">
        <v>38</v>
      </c>
      <c r="C18" t="s">
        <v>39</v>
      </c>
      <c r="D18">
        <f>Part_pi_17</f>
        <v>0</v>
      </c>
      <c r="E18" t="b">
        <f t="shared" si="1"/>
        <v>1</v>
      </c>
    </row>
    <row r="19" spans="1:5">
      <c r="A19" s="1" t="s">
        <v>5</v>
      </c>
      <c r="B19" t="s">
        <v>40</v>
      </c>
      <c r="C19" t="s">
        <v>41</v>
      </c>
      <c r="D19">
        <f>Part_pi_18</f>
        <v>0</v>
      </c>
      <c r="E19" t="b">
        <f t="shared" si="1"/>
        <v>1</v>
      </c>
    </row>
    <row r="20" spans="1:5">
      <c r="A20" s="1" t="s">
        <v>5</v>
      </c>
      <c r="B20" t="s">
        <v>42</v>
      </c>
      <c r="C20" t="s">
        <v>43</v>
      </c>
      <c r="D20">
        <f>Part_pi_19</f>
        <v>0</v>
      </c>
      <c r="E20" t="b">
        <f t="shared" si="1"/>
        <v>1</v>
      </c>
    </row>
    <row r="21" spans="1:5">
      <c r="A21" s="1" t="s">
        <v>5</v>
      </c>
      <c r="B21" t="s">
        <v>44</v>
      </c>
      <c r="C21" t="s">
        <v>45</v>
      </c>
      <c r="D21">
        <f>Part_pi_20</f>
        <v>0</v>
      </c>
      <c r="E21" t="b">
        <f t="shared" si="1"/>
        <v>1</v>
      </c>
    </row>
    <row r="22" spans="1:5">
      <c r="A22" s="1" t="s">
        <v>5</v>
      </c>
      <c r="B22" t="s">
        <v>46</v>
      </c>
      <c r="C22" t="s">
        <v>47</v>
      </c>
      <c r="D22">
        <f>Part_pd_1</f>
        <v>0</v>
      </c>
      <c r="E22" t="b">
        <f t="shared" si="1"/>
        <v>1</v>
      </c>
    </row>
    <row r="23" spans="1:5">
      <c r="A23" s="1" t="s">
        <v>5</v>
      </c>
      <c r="B23" t="s">
        <v>48</v>
      </c>
      <c r="C23" t="s">
        <v>49</v>
      </c>
      <c r="D23">
        <f>Part_pd_2</f>
        <v>0</v>
      </c>
      <c r="E23" t="b">
        <f t="shared" si="1"/>
        <v>1</v>
      </c>
    </row>
    <row r="24" spans="1:5">
      <c r="A24" s="1" t="s">
        <v>5</v>
      </c>
      <c r="B24" t="s">
        <v>50</v>
      </c>
      <c r="C24" t="s">
        <v>51</v>
      </c>
      <c r="D24">
        <f>Part_pd_3</f>
        <v>0</v>
      </c>
      <c r="E24" t="b">
        <f t="shared" si="1"/>
        <v>1</v>
      </c>
    </row>
    <row r="25" spans="1:5">
      <c r="A25" s="1" t="s">
        <v>5</v>
      </c>
      <c r="B25" t="s">
        <v>52</v>
      </c>
      <c r="C25" t="s">
        <v>53</v>
      </c>
      <c r="D25">
        <f>Part_pd_4</f>
        <v>0</v>
      </c>
      <c r="E25" t="b">
        <f t="shared" si="1"/>
        <v>1</v>
      </c>
    </row>
    <row r="26" spans="1:5">
      <c r="A26" s="1" t="s">
        <v>5</v>
      </c>
      <c r="B26" t="s">
        <v>54</v>
      </c>
      <c r="C26" t="s">
        <v>55</v>
      </c>
      <c r="D26">
        <f>Part_pd_5</f>
        <v>0</v>
      </c>
      <c r="E26" t="b">
        <f t="shared" si="1"/>
        <v>1</v>
      </c>
    </row>
    <row r="27" spans="1:5">
      <c r="A27" s="1" t="s">
        <v>5</v>
      </c>
      <c r="B27" t="s">
        <v>56</v>
      </c>
      <c r="C27" t="s">
        <v>57</v>
      </c>
      <c r="D27">
        <f>Part_pd_6</f>
        <v>0</v>
      </c>
      <c r="E27" t="b">
        <f t="shared" si="1"/>
        <v>1</v>
      </c>
    </row>
    <row r="28" spans="1:5">
      <c r="A28" s="1" t="s">
        <v>5</v>
      </c>
      <c r="B28" t="s">
        <v>20</v>
      </c>
      <c r="C28" t="s">
        <v>58</v>
      </c>
      <c r="D28" t="str">
        <f>Part_pd_7</f>
        <v>&lt;Choose&gt;</v>
      </c>
      <c r="E28" t="b">
        <f>(D28="&lt;Choose&gt;")</f>
        <v>1</v>
      </c>
    </row>
    <row r="29" spans="1:5">
      <c r="A29" s="1" t="s">
        <v>5</v>
      </c>
      <c r="B29" t="s">
        <v>59</v>
      </c>
      <c r="C29" t="s">
        <v>60</v>
      </c>
      <c r="D29">
        <f>Part_pd_8</f>
        <v>0</v>
      </c>
      <c r="E29" t="b">
        <f>(D29=0)</f>
        <v>1</v>
      </c>
    </row>
    <row r="30" spans="1:5">
      <c r="A30" s="1" t="s">
        <v>5</v>
      </c>
      <c r="B30" t="s">
        <v>61</v>
      </c>
      <c r="C30" t="s">
        <v>62</v>
      </c>
      <c r="D30" t="str">
        <f>Part_part_1</f>
        <v>&lt;Choose&gt;</v>
      </c>
      <c r="E30" t="b">
        <f>(D30="&lt;Choose&gt;")</f>
        <v>1</v>
      </c>
    </row>
    <row r="31" spans="1:5">
      <c r="A31" s="1" t="s">
        <v>5</v>
      </c>
      <c r="B31" t="s">
        <v>63</v>
      </c>
      <c r="C31" t="s">
        <v>64</v>
      </c>
      <c r="D31" t="str">
        <f>Part_part_2</f>
        <v>&lt;Choose&gt;</v>
      </c>
      <c r="E31" t="b">
        <f>(D31="&lt;Choose&gt;")</f>
        <v>1</v>
      </c>
    </row>
    <row r="32" spans="1:5">
      <c r="A32" s="1" t="s">
        <v>5</v>
      </c>
      <c r="B32" t="s">
        <v>65</v>
      </c>
      <c r="C32" t="s">
        <v>66</v>
      </c>
      <c r="D32" t="str">
        <f>Part_part_3</f>
        <v>&lt;Choose&gt;</v>
      </c>
      <c r="E32" t="b">
        <f>(D32="&lt;Choose&gt;")</f>
        <v>1</v>
      </c>
    </row>
    <row r="33" spans="1:5">
      <c r="A33" s="1" t="s">
        <v>5</v>
      </c>
      <c r="B33" t="s">
        <v>67</v>
      </c>
      <c r="C33" t="s">
        <v>68</v>
      </c>
      <c r="D33">
        <f>Part_own_1</f>
        <v>0</v>
      </c>
      <c r="E33" t="b">
        <f>(D33=0)</f>
        <v>1</v>
      </c>
    </row>
    <row r="34" spans="1:5">
      <c r="A34" s="1" t="s">
        <v>5</v>
      </c>
      <c r="B34" t="s">
        <v>69</v>
      </c>
      <c r="C34" t="s">
        <v>70</v>
      </c>
      <c r="D34">
        <f>Part_own_2</f>
        <v>0</v>
      </c>
      <c r="E34" t="b">
        <f>(D34=0)</f>
        <v>1</v>
      </c>
    </row>
    <row r="35" spans="1:5">
      <c r="A35" s="1" t="s">
        <v>5</v>
      </c>
      <c r="B35" t="s">
        <v>71</v>
      </c>
      <c r="C35" t="s">
        <v>72</v>
      </c>
      <c r="D35">
        <f>Part_own_3</f>
        <v>0</v>
      </c>
      <c r="E35" t="b">
        <f>(D35=0)</f>
        <v>1</v>
      </c>
    </row>
    <row r="36" spans="1:5">
      <c r="A36" s="1" t="s">
        <v>5</v>
      </c>
      <c r="B36" t="s">
        <v>73</v>
      </c>
      <c r="C36" t="s">
        <v>74</v>
      </c>
      <c r="D36">
        <f>Part_own_4</f>
        <v>0</v>
      </c>
    </row>
    <row r="37" spans="1:5">
      <c r="A37" s="1" t="s">
        <v>5</v>
      </c>
      <c r="B37" t="s">
        <v>75</v>
      </c>
      <c r="C37" t="s">
        <v>76</v>
      </c>
      <c r="D37">
        <f>Part_own_5</f>
        <v>0</v>
      </c>
    </row>
    <row r="38" spans="1:5">
      <c r="A38" s="1" t="s">
        <v>5</v>
      </c>
      <c r="B38" t="s">
        <v>77</v>
      </c>
      <c r="C38" t="s">
        <v>78</v>
      </c>
      <c r="D38">
        <f>Part_own_6</f>
        <v>0</v>
      </c>
    </row>
    <row r="39" spans="1:5">
      <c r="A39" s="1" t="s">
        <v>5</v>
      </c>
      <c r="B39" t="s">
        <v>79</v>
      </c>
      <c r="C39" t="s">
        <v>80</v>
      </c>
      <c r="D39">
        <f>Part_own_7</f>
        <v>0</v>
      </c>
    </row>
    <row r="40" spans="1:5">
      <c r="A40" s="1" t="s">
        <v>5</v>
      </c>
      <c r="B40" t="s">
        <v>81</v>
      </c>
      <c r="C40" t="s">
        <v>82</v>
      </c>
      <c r="D40">
        <f>Part_own_8</f>
        <v>0</v>
      </c>
    </row>
    <row r="41" spans="1:5">
      <c r="A41" s="1" t="s">
        <v>5</v>
      </c>
      <c r="B41" t="s">
        <v>83</v>
      </c>
      <c r="C41" t="s">
        <v>84</v>
      </c>
      <c r="D41">
        <f>Part_own_9</f>
        <v>0</v>
      </c>
    </row>
    <row r="42" spans="1:5">
      <c r="A42" s="1" t="s">
        <v>5</v>
      </c>
      <c r="B42" t="s">
        <v>85</v>
      </c>
      <c r="C42" t="s">
        <v>86</v>
      </c>
      <c r="D42">
        <f>Part_own_10</f>
        <v>0</v>
      </c>
    </row>
    <row r="43" spans="1:5">
      <c r="A43" s="1" t="s">
        <v>5</v>
      </c>
      <c r="B43" t="s">
        <v>87</v>
      </c>
      <c r="C43" t="s">
        <v>88</v>
      </c>
      <c r="D43">
        <f>Part_own_11</f>
        <v>0</v>
      </c>
    </row>
    <row r="44" spans="1:5">
      <c r="A44" s="1" t="s">
        <v>5</v>
      </c>
      <c r="B44" t="s">
        <v>89</v>
      </c>
      <c r="C44" t="s">
        <v>90</v>
      </c>
      <c r="D44">
        <f>Part_own_12</f>
        <v>0</v>
      </c>
    </row>
    <row r="45" spans="1:5">
      <c r="A45" s="1" t="s">
        <v>5</v>
      </c>
      <c r="B45" t="s">
        <v>91</v>
      </c>
      <c r="C45" t="s">
        <v>92</v>
      </c>
      <c r="D45">
        <f>Part_own_13</f>
        <v>0</v>
      </c>
    </row>
    <row r="46" spans="1:5">
      <c r="A46" s="1" t="s">
        <v>5</v>
      </c>
      <c r="B46" t="s">
        <v>93</v>
      </c>
      <c r="C46" t="s">
        <v>94</v>
      </c>
      <c r="D46">
        <f>Part_own_14</f>
        <v>0</v>
      </c>
    </row>
    <row r="47" spans="1:5">
      <c r="A47" s="1" t="s">
        <v>5</v>
      </c>
      <c r="B47" t="s">
        <v>95</v>
      </c>
      <c r="C47" t="s">
        <v>96</v>
      </c>
      <c r="D47">
        <f>Part_own_15</f>
        <v>0</v>
      </c>
    </row>
    <row r="48" spans="1:5">
      <c r="A48" s="1" t="s">
        <v>5</v>
      </c>
      <c r="B48" t="s">
        <v>97</v>
      </c>
      <c r="C48" t="s">
        <v>98</v>
      </c>
      <c r="D48">
        <f>Part_sig_1</f>
        <v>0</v>
      </c>
    </row>
    <row r="49" spans="1:5">
      <c r="A49" s="1" t="s">
        <v>5</v>
      </c>
      <c r="B49" t="s">
        <v>99</v>
      </c>
      <c r="C49" t="s">
        <v>100</v>
      </c>
      <c r="D49">
        <f>Part_sig_2</f>
        <v>0</v>
      </c>
      <c r="E49" t="b">
        <f>(D49=0)</f>
        <v>1</v>
      </c>
    </row>
    <row r="50" spans="1:5">
      <c r="A50" s="1" t="s">
        <v>5</v>
      </c>
      <c r="B50" t="s">
        <v>101</v>
      </c>
      <c r="C50" t="s">
        <v>102</v>
      </c>
      <c r="D50" t="str">
        <f>Part_sig_3</f>
        <v>&lt;Choose&gt;</v>
      </c>
      <c r="E50" t="b">
        <f>(D50="&lt;Choose&gt;")</f>
        <v>1</v>
      </c>
    </row>
    <row r="51" spans="1:5">
      <c r="A51" s="1" t="s">
        <v>5</v>
      </c>
      <c r="B51" t="s">
        <v>103</v>
      </c>
      <c r="C51" t="s">
        <v>104</v>
      </c>
      <c r="D51">
        <f>Part_sig_4</f>
        <v>0</v>
      </c>
    </row>
    <row r="52" spans="1:5">
      <c r="A52" s="1" t="s">
        <v>5</v>
      </c>
      <c r="B52" t="s">
        <v>105</v>
      </c>
      <c r="C52" t="s">
        <v>106</v>
      </c>
      <c r="D52">
        <f>Part_sig_5</f>
        <v>0</v>
      </c>
      <c r="E52" t="b">
        <f>(D52=0)</f>
        <v>1</v>
      </c>
    </row>
    <row r="53" spans="1:5">
      <c r="A53" s="1" t="s">
        <v>5</v>
      </c>
      <c r="B53" t="s">
        <v>107</v>
      </c>
      <c r="C53" t="s">
        <v>108</v>
      </c>
      <c r="D53" t="str">
        <f>Part_sig_6</f>
        <v>&lt;Choose&gt;</v>
      </c>
      <c r="E53" t="b">
        <f>(D53="&lt;Choose&gt;")</f>
        <v>1</v>
      </c>
    </row>
    <row r="54" spans="1:5">
      <c r="A54" s="1" t="s">
        <v>5</v>
      </c>
      <c r="B54" t="s">
        <v>109</v>
      </c>
      <c r="C54" t="s">
        <v>110</v>
      </c>
      <c r="D54">
        <f>Part_sig_7</f>
        <v>0</v>
      </c>
    </row>
    <row r="55" spans="1:5">
      <c r="A55" s="1" t="s">
        <v>5</v>
      </c>
      <c r="B55" t="s">
        <v>111</v>
      </c>
      <c r="C55" t="s">
        <v>112</v>
      </c>
      <c r="D55">
        <f>Part_sig_8</f>
        <v>0</v>
      </c>
      <c r="E55" t="b">
        <f>(D55=0)</f>
        <v>1</v>
      </c>
    </row>
    <row r="56" spans="1:5">
      <c r="A56" s="1" t="s">
        <v>5</v>
      </c>
      <c r="B56" t="s">
        <v>113</v>
      </c>
      <c r="C56" t="s">
        <v>114</v>
      </c>
      <c r="D56" t="str">
        <f>Part_sig_9</f>
        <v>&lt;Choose&gt;</v>
      </c>
      <c r="E56" t="b">
        <f>(D56="&lt;Choose&gt;")</f>
        <v>1</v>
      </c>
    </row>
    <row r="57" spans="1:5">
      <c r="A57" s="1" t="s">
        <v>115</v>
      </c>
      <c r="B57" t="s">
        <v>116</v>
      </c>
      <c r="C57" t="s">
        <v>117</v>
      </c>
      <c r="D57">
        <f>Proj_pi_1</f>
        <v>0</v>
      </c>
      <c r="E57" t="b">
        <f t="shared" ref="E57:E63" si="2">(D57=0)</f>
        <v>1</v>
      </c>
    </row>
    <row r="58" spans="1:5">
      <c r="A58" s="1" t="s">
        <v>115</v>
      </c>
      <c r="B58" t="s">
        <v>118</v>
      </c>
      <c r="C58" t="s">
        <v>119</v>
      </c>
      <c r="D58">
        <f>Proj_pi_2</f>
        <v>0</v>
      </c>
      <c r="E58" t="b">
        <f t="shared" si="2"/>
        <v>1</v>
      </c>
    </row>
    <row r="59" spans="1:5">
      <c r="A59" s="1" t="s">
        <v>115</v>
      </c>
      <c r="B59" t="s">
        <v>120</v>
      </c>
      <c r="C59" t="s">
        <v>121</v>
      </c>
      <c r="D59">
        <f>Proj_pi_3</f>
        <v>0</v>
      </c>
      <c r="E59" t="b">
        <f t="shared" si="2"/>
        <v>1</v>
      </c>
    </row>
    <row r="60" spans="1:5">
      <c r="A60" s="1" t="s">
        <v>115</v>
      </c>
      <c r="B60" t="s">
        <v>122</v>
      </c>
      <c r="C60" t="s">
        <v>123</v>
      </c>
      <c r="D60">
        <f>Proj_pi_4</f>
        <v>0</v>
      </c>
      <c r="E60" t="b">
        <f t="shared" si="2"/>
        <v>1</v>
      </c>
    </row>
    <row r="61" spans="1:5">
      <c r="A61" s="1" t="s">
        <v>115</v>
      </c>
      <c r="B61" t="s">
        <v>124</v>
      </c>
      <c r="C61" t="s">
        <v>125</v>
      </c>
      <c r="D61">
        <f>Proj_pi_5</f>
        <v>0</v>
      </c>
      <c r="E61" t="b">
        <f t="shared" si="2"/>
        <v>1</v>
      </c>
    </row>
    <row r="62" spans="1:5">
      <c r="A62" s="1" t="s">
        <v>115</v>
      </c>
      <c r="B62" t="s">
        <v>126</v>
      </c>
      <c r="C62" t="s">
        <v>127</v>
      </c>
      <c r="D62">
        <f>Proj_pi_6</f>
        <v>0</v>
      </c>
      <c r="E62" t="b">
        <f t="shared" si="2"/>
        <v>1</v>
      </c>
    </row>
    <row r="63" spans="1:5">
      <c r="A63" s="1" t="s">
        <v>115</v>
      </c>
      <c r="B63" t="s">
        <v>128</v>
      </c>
      <c r="C63" t="s">
        <v>129</v>
      </c>
      <c r="D63">
        <f>Proj_pi_7</f>
        <v>0</v>
      </c>
      <c r="E63" t="b">
        <f t="shared" si="2"/>
        <v>1</v>
      </c>
    </row>
    <row r="64" spans="1:5">
      <c r="A64" s="1" t="s">
        <v>115</v>
      </c>
      <c r="B64" t="s">
        <v>130</v>
      </c>
      <c r="C64" t="s">
        <v>131</v>
      </c>
      <c r="D64" t="str">
        <f>Proj_pi_8</f>
        <v>&lt;Choose&gt;</v>
      </c>
      <c r="E64" t="b">
        <f>(D64="&lt;Choose&gt;")</f>
        <v>1</v>
      </c>
    </row>
    <row r="65" spans="1:5">
      <c r="A65" s="1" t="s">
        <v>115</v>
      </c>
      <c r="B65" t="s">
        <v>132</v>
      </c>
      <c r="C65" t="s">
        <v>133</v>
      </c>
      <c r="D65" t="str">
        <f>Proj_pi_9</f>
        <v>&lt;Choose&gt;</v>
      </c>
      <c r="E65" t="b">
        <f>(D65="&lt;Choose&gt;")</f>
        <v>1</v>
      </c>
    </row>
    <row r="66" spans="1:5">
      <c r="A66" s="1" t="s">
        <v>115</v>
      </c>
      <c r="B66" t="s">
        <v>134</v>
      </c>
      <c r="C66" t="s">
        <v>135</v>
      </c>
      <c r="D66" t="str">
        <f>Proj_pi_10</f>
        <v>&lt;Choose&gt;</v>
      </c>
      <c r="E66" t="b">
        <f>(D66="&lt;Choose&gt;")</f>
        <v>1</v>
      </c>
    </row>
    <row r="67" spans="1:5">
      <c r="A67" s="1" t="s">
        <v>115</v>
      </c>
      <c r="B67" t="s">
        <v>136</v>
      </c>
      <c r="C67" t="s">
        <v>137</v>
      </c>
      <c r="D67" t="str">
        <f>Proj_pi_11</f>
        <v>&lt;Choose&gt;</v>
      </c>
      <c r="E67" t="b">
        <f>(D67="&lt;Choose&gt;")</f>
        <v>1</v>
      </c>
    </row>
    <row r="68" spans="1:5">
      <c r="A68" s="1" t="s">
        <v>115</v>
      </c>
      <c r="B68" t="s">
        <v>138</v>
      </c>
      <c r="C68" t="s">
        <v>139</v>
      </c>
      <c r="D68">
        <f>Proj_pi_12</f>
        <v>0</v>
      </c>
      <c r="E68" t="b">
        <f>(D68=0)</f>
        <v>1</v>
      </c>
    </row>
    <row r="69" spans="1:5">
      <c r="A69" s="1" t="s">
        <v>115</v>
      </c>
      <c r="B69" t="s">
        <v>140</v>
      </c>
      <c r="C69" t="s">
        <v>141</v>
      </c>
      <c r="D69">
        <f>Proj_pi_loadarea</f>
        <v>0</v>
      </c>
    </row>
    <row r="70" spans="1:5">
      <c r="A70" s="1" t="s">
        <v>115</v>
      </c>
      <c r="B70" t="s">
        <v>142</v>
      </c>
      <c r="C70" t="s">
        <v>143</v>
      </c>
      <c r="D70">
        <f>Proj_pi_poi</f>
        <v>0</v>
      </c>
      <c r="E70" t="b">
        <f t="shared" ref="E70:E72" si="3">(D70=0)</f>
        <v>1</v>
      </c>
    </row>
    <row r="71" spans="1:5">
      <c r="A71" s="1" t="s">
        <v>115</v>
      </c>
      <c r="B71" t="s">
        <v>144</v>
      </c>
      <c r="C71" t="s">
        <v>145</v>
      </c>
      <c r="D71">
        <f>Proj_pi_iv</f>
        <v>0</v>
      </c>
      <c r="E71" t="b">
        <f t="shared" si="3"/>
        <v>1</v>
      </c>
    </row>
    <row r="72" spans="1:5">
      <c r="A72" s="1" t="s">
        <v>115</v>
      </c>
      <c r="B72" t="s">
        <v>146</v>
      </c>
      <c r="C72" t="s">
        <v>147</v>
      </c>
      <c r="D72">
        <f>Proj_pi_iqn</f>
        <v>0</v>
      </c>
      <c r="E72" t="b">
        <f t="shared" si="3"/>
        <v>1</v>
      </c>
    </row>
    <row r="73" spans="1:5">
      <c r="A73" s="1" t="s">
        <v>115</v>
      </c>
      <c r="B73" t="s">
        <v>148</v>
      </c>
      <c r="C73" t="s">
        <v>149</v>
      </c>
      <c r="D73" t="str">
        <f>Proj_ts_1</f>
        <v>&lt;Choose&gt;</v>
      </c>
      <c r="E73" t="b">
        <f t="shared" ref="E73:E76" si="4">(D73="&lt;Choose&gt;")</f>
        <v>1</v>
      </c>
    </row>
    <row r="74" spans="1:5">
      <c r="A74" s="1" t="s">
        <v>115</v>
      </c>
      <c r="B74" t="s">
        <v>150</v>
      </c>
      <c r="C74" t="s">
        <v>151</v>
      </c>
      <c r="D74">
        <f>Proj_ts_2</f>
        <v>0</v>
      </c>
      <c r="E74" t="b">
        <f t="shared" si="4"/>
        <v>0</v>
      </c>
    </row>
    <row r="75" spans="1:5">
      <c r="A75" s="1" t="s">
        <v>115</v>
      </c>
      <c r="B75" t="s">
        <v>152</v>
      </c>
      <c r="C75" t="s">
        <v>153</v>
      </c>
      <c r="D75">
        <f>Proj_ts_3</f>
        <v>0</v>
      </c>
      <c r="E75" t="b">
        <f t="shared" si="4"/>
        <v>0</v>
      </c>
    </row>
    <row r="76" spans="1:5">
      <c r="A76" s="1" t="s">
        <v>115</v>
      </c>
      <c r="B76" t="s">
        <v>154</v>
      </c>
      <c r="C76" t="s">
        <v>155</v>
      </c>
      <c r="D76" t="str">
        <f>Proj_ts_4</f>
        <v>&lt;Choose&gt;</v>
      </c>
      <c r="E76" t="b">
        <f t="shared" si="4"/>
        <v>1</v>
      </c>
    </row>
    <row r="77" spans="1:5">
      <c r="A77" s="1" t="s">
        <v>115</v>
      </c>
      <c r="B77" t="s">
        <v>156</v>
      </c>
      <c r="C77" t="s">
        <v>157</v>
      </c>
      <c r="D77">
        <f>Proj_ts_5</f>
        <v>0</v>
      </c>
    </row>
    <row r="78" spans="1:5">
      <c r="A78" s="1" t="s">
        <v>115</v>
      </c>
      <c r="B78" t="s">
        <v>158</v>
      </c>
      <c r="C78" t="s">
        <v>159</v>
      </c>
      <c r="D78">
        <f>Proj_ts_6</f>
        <v>0</v>
      </c>
    </row>
    <row r="79" spans="1:5">
      <c r="A79" s="1" t="s">
        <v>115</v>
      </c>
      <c r="B79" t="s">
        <v>160</v>
      </c>
      <c r="C79" t="s">
        <v>161</v>
      </c>
      <c r="D79">
        <f>Proj_ts_7</f>
        <v>0</v>
      </c>
    </row>
    <row r="80" spans="1:5">
      <c r="A80" s="1" t="s">
        <v>115</v>
      </c>
      <c r="B80" t="s">
        <v>162</v>
      </c>
      <c r="C80" t="s">
        <v>163</v>
      </c>
      <c r="D80">
        <f>Proj_ts_8</f>
        <v>0</v>
      </c>
    </row>
    <row r="81" spans="1:5">
      <c r="A81" s="1" t="s">
        <v>115</v>
      </c>
      <c r="B81" t="s">
        <v>164</v>
      </c>
      <c r="C81" t="s">
        <v>165</v>
      </c>
      <c r="D81" t="e">
        <f>Proj_ts_9</f>
        <v>#REF!</v>
      </c>
      <c r="E81" t="e">
        <f t="shared" ref="E81:E93" si="5">(D81=0)</f>
        <v>#REF!</v>
      </c>
    </row>
    <row r="82" spans="1:5">
      <c r="A82" s="1" t="s">
        <v>115</v>
      </c>
      <c r="B82" t="s">
        <v>166</v>
      </c>
      <c r="C82" t="s">
        <v>167</v>
      </c>
      <c r="D82" t="e">
        <f>Proj_ts_10</f>
        <v>#REF!</v>
      </c>
      <c r="E82" t="e">
        <f t="shared" si="5"/>
        <v>#REF!</v>
      </c>
    </row>
    <row r="83" spans="1:5">
      <c r="A83" s="1" t="s">
        <v>115</v>
      </c>
      <c r="B83" t="s">
        <v>168</v>
      </c>
      <c r="C83" t="s">
        <v>169</v>
      </c>
      <c r="D83" t="e">
        <f>Proj_ts_11</f>
        <v>#REF!</v>
      </c>
      <c r="E83" t="e">
        <f t="shared" si="5"/>
        <v>#REF!</v>
      </c>
    </row>
    <row r="84" spans="1:5">
      <c r="A84" s="1" t="s">
        <v>115</v>
      </c>
      <c r="B84" t="s">
        <v>170</v>
      </c>
      <c r="C84" t="s">
        <v>171</v>
      </c>
      <c r="D84" t="e">
        <f>Proj_ts_12</f>
        <v>#REF!</v>
      </c>
      <c r="E84" t="e">
        <f t="shared" si="5"/>
        <v>#REF!</v>
      </c>
    </row>
    <row r="85" spans="1:5">
      <c r="A85" s="1" t="s">
        <v>115</v>
      </c>
      <c r="B85" t="s">
        <v>172</v>
      </c>
      <c r="C85" t="s">
        <v>173</v>
      </c>
      <c r="D85" t="e">
        <f>Proj_ts_13</f>
        <v>#REF!</v>
      </c>
      <c r="E85" t="e">
        <f t="shared" si="5"/>
        <v>#REF!</v>
      </c>
    </row>
    <row r="86" spans="1:5">
      <c r="A86" s="1" t="s">
        <v>115</v>
      </c>
      <c r="B86" t="s">
        <v>174</v>
      </c>
      <c r="C86" t="s">
        <v>175</v>
      </c>
      <c r="D86">
        <f>Proj_es_1</f>
        <v>0</v>
      </c>
      <c r="E86" t="b">
        <f t="shared" si="5"/>
        <v>1</v>
      </c>
    </row>
    <row r="87" spans="1:5">
      <c r="A87" s="1" t="s">
        <v>115</v>
      </c>
      <c r="B87" t="s">
        <v>176</v>
      </c>
      <c r="C87" t="s">
        <v>177</v>
      </c>
      <c r="D87">
        <f>Proj_es_2</f>
        <v>0</v>
      </c>
      <c r="E87" t="b">
        <f t="shared" si="5"/>
        <v>1</v>
      </c>
    </row>
    <row r="88" spans="1:5">
      <c r="A88" s="1" t="s">
        <v>115</v>
      </c>
      <c r="B88" t="s">
        <v>178</v>
      </c>
      <c r="C88" t="s">
        <v>179</v>
      </c>
      <c r="D88">
        <f>Proj_es_3</f>
        <v>0</v>
      </c>
      <c r="E88" t="b">
        <f t="shared" si="5"/>
        <v>1</v>
      </c>
    </row>
    <row r="89" spans="1:5">
      <c r="A89" s="1" t="s">
        <v>115</v>
      </c>
      <c r="B89" t="s">
        <v>180</v>
      </c>
      <c r="C89" t="s">
        <v>181</v>
      </c>
      <c r="D89">
        <f>Proj_es_4</f>
        <v>0</v>
      </c>
      <c r="E89" t="b">
        <f t="shared" si="5"/>
        <v>1</v>
      </c>
    </row>
    <row r="90" spans="1:5">
      <c r="A90" s="1" t="s">
        <v>115</v>
      </c>
      <c r="B90" t="s">
        <v>182</v>
      </c>
      <c r="C90" t="s">
        <v>183</v>
      </c>
      <c r="D90">
        <f>Proj_es_5</f>
        <v>0</v>
      </c>
      <c r="E90" t="b">
        <f t="shared" si="5"/>
        <v>1</v>
      </c>
    </row>
    <row r="91" spans="1:5">
      <c r="A91" s="1" t="s">
        <v>115</v>
      </c>
      <c r="B91" t="s">
        <v>184</v>
      </c>
      <c r="C91" t="s">
        <v>185</v>
      </c>
      <c r="D91">
        <f>Proj_es_6</f>
        <v>0</v>
      </c>
      <c r="E91" t="b">
        <f t="shared" si="5"/>
        <v>1</v>
      </c>
    </row>
    <row r="92" spans="1:5">
      <c r="A92" s="1" t="s">
        <v>115</v>
      </c>
      <c r="B92" t="s">
        <v>186</v>
      </c>
      <c r="C92" t="s">
        <v>187</v>
      </c>
      <c r="D92">
        <f>Proj_es_7</f>
        <v>0</v>
      </c>
      <c r="E92" t="b">
        <f t="shared" si="5"/>
        <v>1</v>
      </c>
    </row>
    <row r="93" spans="1:5">
      <c r="A93" s="1" t="s">
        <v>115</v>
      </c>
      <c r="B93" t="s">
        <v>188</v>
      </c>
      <c r="C93" t="s">
        <v>189</v>
      </c>
      <c r="D93">
        <f>Proj_es_8</f>
        <v>0</v>
      </c>
      <c r="E93" t="b">
        <f t="shared" si="5"/>
        <v>1</v>
      </c>
    </row>
    <row r="94" spans="1:5">
      <c r="A94" s="1" t="s">
        <v>115</v>
      </c>
      <c r="B94" t="s">
        <v>190</v>
      </c>
      <c r="C94" t="s">
        <v>191</v>
      </c>
      <c r="D94">
        <f>Proj_es_9</f>
        <v>0</v>
      </c>
    </row>
    <row r="95" spans="1:5">
      <c r="A95" s="1" t="s">
        <v>115</v>
      </c>
      <c r="B95" t="s">
        <v>192</v>
      </c>
      <c r="C95" t="s">
        <v>193</v>
      </c>
      <c r="D95">
        <f>Proj_es_10</f>
        <v>0</v>
      </c>
    </row>
    <row r="96" spans="1:5">
      <c r="A96" s="1" t="s">
        <v>115</v>
      </c>
      <c r="B96" t="s">
        <v>194</v>
      </c>
      <c r="C96" t="s">
        <v>195</v>
      </c>
      <c r="D96">
        <f>Proj_es_11</f>
        <v>0</v>
      </c>
    </row>
    <row r="97" spans="1:5">
      <c r="A97" s="1" t="s">
        <v>115</v>
      </c>
      <c r="B97" t="s">
        <v>196</v>
      </c>
      <c r="C97" t="s">
        <v>197</v>
      </c>
      <c r="D97">
        <f>Proj_es_12</f>
        <v>0</v>
      </c>
    </row>
    <row r="98" spans="1:5">
      <c r="A98" s="1" t="s">
        <v>115</v>
      </c>
      <c r="B98" t="s">
        <v>198</v>
      </c>
      <c r="C98" t="s">
        <v>199</v>
      </c>
      <c r="D98">
        <f>Proj_es_13</f>
        <v>0</v>
      </c>
    </row>
    <row r="99" spans="1:5">
      <c r="A99" s="1" t="s">
        <v>115</v>
      </c>
      <c r="B99" t="s">
        <v>200</v>
      </c>
      <c r="C99" t="s">
        <v>201</v>
      </c>
      <c r="D99">
        <f>Proj_es_14</f>
        <v>0</v>
      </c>
    </row>
    <row r="100" spans="1:5">
      <c r="A100" s="1" t="s">
        <v>115</v>
      </c>
      <c r="B100" t="s">
        <v>202</v>
      </c>
      <c r="C100" t="s">
        <v>203</v>
      </c>
      <c r="D100">
        <f>Proj_es_15</f>
        <v>0</v>
      </c>
    </row>
    <row r="101" spans="1:5">
      <c r="A101" s="1" t="s">
        <v>115</v>
      </c>
      <c r="B101" t="s">
        <v>204</v>
      </c>
      <c r="C101" t="s">
        <v>205</v>
      </c>
      <c r="D101">
        <f>Proj_es_16</f>
        <v>0</v>
      </c>
    </row>
    <row r="102" spans="1:5">
      <c r="A102" s="1" t="s">
        <v>115</v>
      </c>
      <c r="B102" t="s">
        <v>206</v>
      </c>
      <c r="C102" t="s">
        <v>207</v>
      </c>
      <c r="D102">
        <f>Proj_es_17</f>
        <v>0</v>
      </c>
    </row>
    <row r="103" spans="1:5">
      <c r="A103" s="1" t="s">
        <v>115</v>
      </c>
      <c r="B103" t="s">
        <v>208</v>
      </c>
      <c r="C103" t="s">
        <v>209</v>
      </c>
      <c r="D103">
        <f>Proj_es_18</f>
        <v>0</v>
      </c>
    </row>
    <row r="104" spans="1:5">
      <c r="A104" s="1" t="s">
        <v>115</v>
      </c>
      <c r="B104" t="s">
        <v>210</v>
      </c>
      <c r="C104" t="s">
        <v>211</v>
      </c>
      <c r="D104">
        <f>Proj_es_19</f>
        <v>0</v>
      </c>
    </row>
    <row r="105" spans="1:5">
      <c r="A105" s="1" t="s">
        <v>115</v>
      </c>
      <c r="B105" t="s">
        <v>212</v>
      </c>
      <c r="C105" t="s">
        <v>213</v>
      </c>
      <c r="D105">
        <f>Proj_es_20</f>
        <v>0</v>
      </c>
    </row>
    <row r="106" spans="1:5">
      <c r="A106" s="1" t="s">
        <v>214</v>
      </c>
      <c r="B106" t="s">
        <v>215</v>
      </c>
      <c r="C106" t="s">
        <v>216</v>
      </c>
      <c r="D106">
        <f>PCOP_sm</f>
        <v>0</v>
      </c>
      <c r="E106" t="b">
        <f t="shared" ref="E106:E112" si="6">(D106=0)</f>
        <v>1</v>
      </c>
    </row>
    <row r="107" spans="1:5">
      <c r="A107" s="1" t="s">
        <v>214</v>
      </c>
      <c r="B107" t="s">
        <v>217</v>
      </c>
      <c r="C107" t="s">
        <v>218</v>
      </c>
      <c r="D107">
        <f>PCOP_pcs</f>
        <v>0</v>
      </c>
      <c r="E107" t="b">
        <f t="shared" si="6"/>
        <v>1</v>
      </c>
    </row>
    <row r="108" spans="1:5">
      <c r="A108" s="1" t="s">
        <v>214</v>
      </c>
      <c r="B108" t="s">
        <v>219</v>
      </c>
      <c r="C108" t="s">
        <v>220</v>
      </c>
      <c r="D108">
        <f>PCOP_bos</f>
        <v>0</v>
      </c>
      <c r="E108" t="b">
        <f t="shared" si="6"/>
        <v>1</v>
      </c>
    </row>
    <row r="109" spans="1:5">
      <c r="A109" s="1" t="s">
        <v>214</v>
      </c>
      <c r="B109" t="s">
        <v>221</v>
      </c>
      <c r="C109" t="s">
        <v>222</v>
      </c>
      <c r="D109">
        <f>PCOP_tot</f>
        <v>0</v>
      </c>
      <c r="E109" t="b">
        <f t="shared" si="6"/>
        <v>1</v>
      </c>
    </row>
    <row r="110" spans="1:5">
      <c r="A110" s="1" t="s">
        <v>214</v>
      </c>
      <c r="B110" t="s">
        <v>223</v>
      </c>
      <c r="C110" t="s">
        <v>224</v>
      </c>
      <c r="D110">
        <f>PCOP_epc</f>
        <v>0</v>
      </c>
      <c r="E110" t="b">
        <f t="shared" si="6"/>
        <v>1</v>
      </c>
    </row>
    <row r="111" spans="1:5">
      <c r="A111" s="1" t="s">
        <v>214</v>
      </c>
      <c r="B111" t="s">
        <v>225</v>
      </c>
      <c r="C111" t="s">
        <v>226</v>
      </c>
      <c r="D111">
        <f>PCOP_ps</f>
        <v>0</v>
      </c>
      <c r="E111" t="b">
        <f t="shared" si="6"/>
        <v>1</v>
      </c>
    </row>
    <row r="112" spans="1:5">
      <c r="A112" s="1" t="s">
        <v>214</v>
      </c>
      <c r="B112" t="s">
        <v>227</v>
      </c>
      <c r="C112" t="s">
        <v>228</v>
      </c>
      <c r="D112">
        <f>PCOP_eic</f>
        <v>0</v>
      </c>
      <c r="E112" t="b">
        <f t="shared" si="6"/>
        <v>1</v>
      </c>
    </row>
    <row r="113" spans="1:5">
      <c r="A113" s="1" t="s">
        <v>214</v>
      </c>
      <c r="B113" t="s">
        <v>229</v>
      </c>
      <c r="C113" t="s">
        <v>230</v>
      </c>
      <c r="D113">
        <f>PCOP_totp</f>
        <v>0</v>
      </c>
    </row>
    <row r="114" spans="1:5">
      <c r="A114" s="1" t="s">
        <v>214</v>
      </c>
      <c r="B114" t="s">
        <v>231</v>
      </c>
      <c r="C114" t="s">
        <v>232</v>
      </c>
      <c r="D114">
        <f>PCOP_epcp</f>
        <v>0</v>
      </c>
    </row>
    <row r="115" spans="1:5">
      <c r="A115" s="1" t="s">
        <v>214</v>
      </c>
      <c r="B115" t="s">
        <v>233</v>
      </c>
      <c r="C115" t="s">
        <v>234</v>
      </c>
      <c r="D115">
        <f>PCOP_psp</f>
        <v>0</v>
      </c>
    </row>
    <row r="116" spans="1:5">
      <c r="A116" s="1" t="s">
        <v>214</v>
      </c>
      <c r="B116" t="s">
        <v>235</v>
      </c>
      <c r="C116" t="s">
        <v>236</v>
      </c>
      <c r="D116">
        <f>PCOP_eicp</f>
        <v>0</v>
      </c>
    </row>
    <row r="117" spans="1:5">
      <c r="A117" s="1" t="s">
        <v>214</v>
      </c>
      <c r="B117" t="s">
        <v>237</v>
      </c>
      <c r="C117" t="s">
        <v>238</v>
      </c>
      <c r="D117">
        <f>PCOP_trf</f>
        <v>0</v>
      </c>
      <c r="E117" t="b">
        <f>(D117=0)</f>
        <v>1</v>
      </c>
    </row>
    <row r="118" spans="1:5">
      <c r="A118" s="1" t="s">
        <v>214</v>
      </c>
      <c r="B118" t="s">
        <v>239</v>
      </c>
      <c r="C118" t="s">
        <v>240</v>
      </c>
      <c r="D118">
        <f>PCOP_y1pay</f>
        <v>0</v>
      </c>
      <c r="E118" t="b">
        <f>(D118=0)</f>
        <v>1</v>
      </c>
    </row>
    <row r="119" spans="1:5">
      <c r="A119" s="1" t="s">
        <v>214</v>
      </c>
      <c r="B119" t="s">
        <v>241</v>
      </c>
      <c r="C119" t="s">
        <v>242</v>
      </c>
      <c r="D119">
        <f>PCOP_y27pay</f>
        <v>0</v>
      </c>
      <c r="E119" t="b">
        <f>(D119=0)</f>
        <v>1</v>
      </c>
    </row>
    <row r="120" spans="1:5">
      <c r="A120" s="1" t="s">
        <v>214</v>
      </c>
      <c r="B120" t="s">
        <v>243</v>
      </c>
      <c r="C120" t="s">
        <v>244</v>
      </c>
      <c r="D120">
        <f>PCOP_fom</f>
        <v>0</v>
      </c>
      <c r="E120" t="b">
        <f t="shared" ref="E120:E128" si="7">(D120=0)</f>
        <v>1</v>
      </c>
    </row>
    <row r="121" spans="1:5">
      <c r="A121" s="1" t="s">
        <v>214</v>
      </c>
      <c r="B121" t="s">
        <v>245</v>
      </c>
      <c r="C121" t="s">
        <v>246</v>
      </c>
      <c r="D121">
        <f>PCOP_fom_2</f>
        <v>0</v>
      </c>
      <c r="E121" t="b">
        <f t="shared" si="7"/>
        <v>1</v>
      </c>
    </row>
    <row r="122" spans="1:5">
      <c r="A122" s="1" t="s">
        <v>214</v>
      </c>
      <c r="B122" t="s">
        <v>247</v>
      </c>
      <c r="C122" t="s">
        <v>248</v>
      </c>
      <c r="D122">
        <f>PCOP_fom_3</f>
        <v>0</v>
      </c>
      <c r="E122" t="b">
        <f t="shared" si="7"/>
        <v>1</v>
      </c>
    </row>
    <row r="123" spans="1:5">
      <c r="A123" s="1" t="s">
        <v>214</v>
      </c>
      <c r="B123" t="s">
        <v>249</v>
      </c>
      <c r="C123" t="s">
        <v>250</v>
      </c>
      <c r="D123">
        <f>PCOP_fom_4</f>
        <v>0</v>
      </c>
      <c r="E123" t="b">
        <f t="shared" si="7"/>
        <v>1</v>
      </c>
    </row>
    <row r="124" spans="1:5">
      <c r="A124" s="1" t="s">
        <v>214</v>
      </c>
      <c r="B124" t="s">
        <v>251</v>
      </c>
      <c r="C124" t="s">
        <v>252</v>
      </c>
      <c r="D124">
        <f>PCOP_fom_5</f>
        <v>0</v>
      </c>
      <c r="E124" t="b">
        <f t="shared" si="7"/>
        <v>1</v>
      </c>
    </row>
    <row r="125" spans="1:5">
      <c r="A125" s="1" t="s">
        <v>214</v>
      </c>
      <c r="B125" t="s">
        <v>253</v>
      </c>
      <c r="C125" t="s">
        <v>254</v>
      </c>
      <c r="D125">
        <f>PCOP_fom_6</f>
        <v>0</v>
      </c>
      <c r="E125" t="b">
        <f t="shared" si="7"/>
        <v>1</v>
      </c>
    </row>
    <row r="126" spans="1:5">
      <c r="A126" s="1" t="s">
        <v>214</v>
      </c>
      <c r="B126" t="s">
        <v>255</v>
      </c>
      <c r="C126" t="s">
        <v>256</v>
      </c>
      <c r="D126">
        <f>PCOP_fom_7</f>
        <v>0</v>
      </c>
      <c r="E126" t="b">
        <f t="shared" si="7"/>
        <v>1</v>
      </c>
    </row>
    <row r="127" spans="1:5">
      <c r="A127" s="1" t="s">
        <v>214</v>
      </c>
      <c r="B127" t="s">
        <v>257</v>
      </c>
      <c r="C127" t="s">
        <v>258</v>
      </c>
      <c r="D127">
        <f>PCOP_stationcharges</f>
        <v>0</v>
      </c>
      <c r="E127" t="b">
        <f t="shared" si="7"/>
        <v>1</v>
      </c>
    </row>
    <row r="128" spans="1:5">
      <c r="A128" s="1" t="s">
        <v>214</v>
      </c>
      <c r="B128" t="s">
        <v>259</v>
      </c>
      <c r="C128" t="s">
        <v>260</v>
      </c>
      <c r="D128">
        <f>PCOP_anncharges</f>
        <v>0</v>
      </c>
      <c r="E128" t="b">
        <f t="shared" si="7"/>
        <v>1</v>
      </c>
    </row>
    <row r="129" spans="1:5">
      <c r="A129" s="1" t="s">
        <v>261</v>
      </c>
      <c r="B129" t="s">
        <v>262</v>
      </c>
      <c r="C129" t="s">
        <v>263</v>
      </c>
      <c r="D129">
        <f>OI_param_tpc</f>
        <v>0</v>
      </c>
    </row>
    <row r="130" spans="1:5">
      <c r="A130" s="1" t="s">
        <v>261</v>
      </c>
      <c r="B130" t="s">
        <v>264</v>
      </c>
      <c r="C130" t="s">
        <v>265</v>
      </c>
      <c r="D130" t="str">
        <f>OI_param_tpc_var</f>
        <v>&lt;Choose&gt;</v>
      </c>
      <c r="E130" t="b">
        <f>(D130="&lt;Choose&gt;")</f>
        <v>1</v>
      </c>
    </row>
    <row r="131" spans="1:5">
      <c r="A131" s="1" t="s">
        <v>261</v>
      </c>
      <c r="B131" t="s">
        <v>266</v>
      </c>
      <c r="C131" t="s">
        <v>267</v>
      </c>
      <c r="D131">
        <f>OI_param_tpc_Jan</f>
        <v>0</v>
      </c>
    </row>
    <row r="132" spans="1:5">
      <c r="A132" s="1" t="s">
        <v>261</v>
      </c>
      <c r="B132" t="s">
        <v>268</v>
      </c>
      <c r="C132" t="s">
        <v>269</v>
      </c>
      <c r="D132">
        <f>OI_param_tpc_Feb</f>
        <v>0</v>
      </c>
    </row>
    <row r="133" spans="1:5">
      <c r="A133" s="1" t="s">
        <v>261</v>
      </c>
      <c r="B133" t="s">
        <v>270</v>
      </c>
      <c r="C133" t="s">
        <v>271</v>
      </c>
      <c r="D133">
        <f>OI_param_tpc_Mar</f>
        <v>0</v>
      </c>
    </row>
    <row r="134" spans="1:5">
      <c r="A134" s="1" t="s">
        <v>261</v>
      </c>
      <c r="B134" t="s">
        <v>272</v>
      </c>
      <c r="C134" t="s">
        <v>273</v>
      </c>
      <c r="D134">
        <f>OI_param_tpc_Apr</f>
        <v>0</v>
      </c>
    </row>
    <row r="135" spans="1:5">
      <c r="A135" s="1" t="s">
        <v>261</v>
      </c>
      <c r="B135" t="s">
        <v>274</v>
      </c>
      <c r="C135" t="s">
        <v>275</v>
      </c>
      <c r="D135">
        <f>OI_param_tpc_May</f>
        <v>0</v>
      </c>
    </row>
    <row r="136" spans="1:5">
      <c r="A136" s="1" t="s">
        <v>261</v>
      </c>
      <c r="B136" t="s">
        <v>276</v>
      </c>
      <c r="C136" t="s">
        <v>277</v>
      </c>
      <c r="D136">
        <f>OI_param_tpc_Jun</f>
        <v>0</v>
      </c>
    </row>
    <row r="137" spans="1:5">
      <c r="A137" s="1" t="s">
        <v>261</v>
      </c>
      <c r="B137" t="s">
        <v>278</v>
      </c>
      <c r="C137" t="s">
        <v>279</v>
      </c>
      <c r="D137">
        <f>OI_param_tpc_Jul</f>
        <v>0</v>
      </c>
    </row>
    <row r="138" spans="1:5">
      <c r="A138" s="1" t="s">
        <v>261</v>
      </c>
      <c r="B138" t="s">
        <v>280</v>
      </c>
      <c r="C138" t="s">
        <v>281</v>
      </c>
      <c r="D138">
        <f>OI_param_tpc_Aug</f>
        <v>0</v>
      </c>
    </row>
    <row r="139" spans="1:5">
      <c r="A139" s="1" t="s">
        <v>261</v>
      </c>
      <c r="B139" t="s">
        <v>282</v>
      </c>
      <c r="C139" t="s">
        <v>283</v>
      </c>
      <c r="D139">
        <f>OI_param_tpc_Sep</f>
        <v>0</v>
      </c>
    </row>
    <row r="140" spans="1:5">
      <c r="A140" s="1" t="s">
        <v>261</v>
      </c>
      <c r="B140" t="s">
        <v>284</v>
      </c>
      <c r="C140" t="s">
        <v>285</v>
      </c>
      <c r="D140">
        <f>OI_param_tpc_Oct</f>
        <v>0</v>
      </c>
    </row>
    <row r="141" spans="1:5">
      <c r="A141" s="1" t="s">
        <v>261</v>
      </c>
      <c r="B141" t="s">
        <v>286</v>
      </c>
      <c r="C141" t="s">
        <v>287</v>
      </c>
      <c r="D141">
        <f>OI_param_tpc_Nov</f>
        <v>0</v>
      </c>
    </row>
    <row r="142" spans="1:5">
      <c r="A142" s="1" t="s">
        <v>261</v>
      </c>
      <c r="B142" t="s">
        <v>288</v>
      </c>
      <c r="C142" t="s">
        <v>289</v>
      </c>
      <c r="D142">
        <f>OI_param_tpc_Dec</f>
        <v>0</v>
      </c>
    </row>
    <row r="143" spans="1:5">
      <c r="A143" s="1" t="s">
        <v>261</v>
      </c>
      <c r="B143" t="s">
        <v>290</v>
      </c>
      <c r="C143" t="s">
        <v>291</v>
      </c>
      <c r="D143">
        <f>OI_param_tec</f>
        <v>0</v>
      </c>
    </row>
    <row r="144" spans="1:5">
      <c r="A144" s="1" t="s">
        <v>261</v>
      </c>
      <c r="B144" t="s">
        <v>292</v>
      </c>
      <c r="C144" t="s">
        <v>293</v>
      </c>
      <c r="D144" t="str">
        <f>OI_param_tec_var</f>
        <v>&lt;Choose&gt;</v>
      </c>
      <c r="E144" t="b">
        <f>(D144="&lt;Choose&gt;")</f>
        <v>1</v>
      </c>
    </row>
    <row r="145" spans="1:5">
      <c r="A145" s="1" t="s">
        <v>261</v>
      </c>
      <c r="B145" t="s">
        <v>294</v>
      </c>
      <c r="C145" t="s">
        <v>295</v>
      </c>
      <c r="D145">
        <f>OI_param_tec_Jan</f>
        <v>0</v>
      </c>
    </row>
    <row r="146" spans="1:5">
      <c r="A146" s="1" t="s">
        <v>261</v>
      </c>
      <c r="B146" t="s">
        <v>296</v>
      </c>
      <c r="C146" t="s">
        <v>297</v>
      </c>
      <c r="D146">
        <f>OI_param_tec_Feb</f>
        <v>0</v>
      </c>
    </row>
    <row r="147" spans="1:5">
      <c r="A147" s="1" t="s">
        <v>261</v>
      </c>
      <c r="B147" t="s">
        <v>298</v>
      </c>
      <c r="C147" t="s">
        <v>299</v>
      </c>
      <c r="D147">
        <f>OI_param_tec_Mar</f>
        <v>0</v>
      </c>
    </row>
    <row r="148" spans="1:5">
      <c r="A148" s="1" t="s">
        <v>261</v>
      </c>
      <c r="B148" t="s">
        <v>300</v>
      </c>
      <c r="C148" t="s">
        <v>301</v>
      </c>
      <c r="D148">
        <f>OI_param_tec_Apr</f>
        <v>0</v>
      </c>
    </row>
    <row r="149" spans="1:5">
      <c r="A149" s="1" t="s">
        <v>261</v>
      </c>
      <c r="B149" t="s">
        <v>302</v>
      </c>
      <c r="C149" t="s">
        <v>303</v>
      </c>
      <c r="D149">
        <f>OI_param_tec_May</f>
        <v>0</v>
      </c>
    </row>
    <row r="150" spans="1:5">
      <c r="A150" s="1" t="s">
        <v>261</v>
      </c>
      <c r="B150" t="s">
        <v>304</v>
      </c>
      <c r="C150" t="s">
        <v>305</v>
      </c>
      <c r="D150">
        <f>OI_param_tec_Jun</f>
        <v>0</v>
      </c>
    </row>
    <row r="151" spans="1:5">
      <c r="A151" s="1" t="s">
        <v>261</v>
      </c>
      <c r="B151" t="s">
        <v>306</v>
      </c>
      <c r="C151" t="s">
        <v>307</v>
      </c>
      <c r="D151">
        <f>OI_param_tec_Jul</f>
        <v>0</v>
      </c>
    </row>
    <row r="152" spans="1:5">
      <c r="A152" s="1" t="s">
        <v>261</v>
      </c>
      <c r="B152" t="s">
        <v>308</v>
      </c>
      <c r="C152" t="s">
        <v>309</v>
      </c>
      <c r="D152">
        <f>OI_param_tec_Aug</f>
        <v>0</v>
      </c>
    </row>
    <row r="153" spans="1:5">
      <c r="A153" s="1" t="s">
        <v>261</v>
      </c>
      <c r="B153" t="s">
        <v>310</v>
      </c>
      <c r="C153" t="s">
        <v>311</v>
      </c>
      <c r="D153">
        <f>OI_param_tec_Sep</f>
        <v>0</v>
      </c>
    </row>
    <row r="154" spans="1:5">
      <c r="A154" s="1" t="s">
        <v>261</v>
      </c>
      <c r="B154" t="s">
        <v>312</v>
      </c>
      <c r="C154" t="s">
        <v>313</v>
      </c>
      <c r="D154">
        <f>OI_param_tec_Oct</f>
        <v>0</v>
      </c>
    </row>
    <row r="155" spans="1:5">
      <c r="A155" s="1" t="s">
        <v>261</v>
      </c>
      <c r="B155" t="s">
        <v>314</v>
      </c>
      <c r="C155" t="s">
        <v>315</v>
      </c>
      <c r="D155">
        <f>OI_param_tec_Nov</f>
        <v>0</v>
      </c>
    </row>
    <row r="156" spans="1:5">
      <c r="A156" s="1" t="s">
        <v>261</v>
      </c>
      <c r="B156" t="s">
        <v>316</v>
      </c>
      <c r="C156" t="s">
        <v>317</v>
      </c>
      <c r="D156">
        <f>OI_param_tec_Dec</f>
        <v>0</v>
      </c>
    </row>
    <row r="157" spans="1:5">
      <c r="A157" s="1" t="s">
        <v>261</v>
      </c>
      <c r="B157" t="s">
        <v>318</v>
      </c>
      <c r="C157" t="s">
        <v>319</v>
      </c>
      <c r="D157">
        <f>OI_param_tuc</f>
        <v>0</v>
      </c>
    </row>
    <row r="158" spans="1:5">
      <c r="A158" s="1" t="s">
        <v>261</v>
      </c>
      <c r="B158" t="s">
        <v>320</v>
      </c>
      <c r="C158" t="s">
        <v>321</v>
      </c>
      <c r="D158" t="str">
        <f>OI_param_tuc_var</f>
        <v>&lt;Choose&gt;</v>
      </c>
      <c r="E158" t="b">
        <f>(D158="&lt;Choose&gt;")</f>
        <v>1</v>
      </c>
    </row>
    <row r="159" spans="1:5">
      <c r="A159" s="1" t="s">
        <v>261</v>
      </c>
      <c r="B159" t="s">
        <v>322</v>
      </c>
      <c r="C159" t="s">
        <v>323</v>
      </c>
      <c r="D159">
        <f>OI_param_tuc_Jan</f>
        <v>0</v>
      </c>
    </row>
    <row r="160" spans="1:5">
      <c r="A160" s="1" t="s">
        <v>261</v>
      </c>
      <c r="B160" t="s">
        <v>324</v>
      </c>
      <c r="C160" t="s">
        <v>325</v>
      </c>
      <c r="D160">
        <f>OI_param_tuc_Feb</f>
        <v>0</v>
      </c>
    </row>
    <row r="161" spans="1:5">
      <c r="A161" s="1" t="s">
        <v>261</v>
      </c>
      <c r="B161" t="s">
        <v>326</v>
      </c>
      <c r="C161" t="s">
        <v>327</v>
      </c>
      <c r="D161">
        <f>OI_param_tuc_Mar</f>
        <v>0</v>
      </c>
    </row>
    <row r="162" spans="1:5">
      <c r="A162" s="1" t="s">
        <v>261</v>
      </c>
      <c r="B162" t="s">
        <v>328</v>
      </c>
      <c r="C162" t="s">
        <v>329</v>
      </c>
      <c r="D162">
        <f>OI_param_tuc_Apr</f>
        <v>0</v>
      </c>
    </row>
    <row r="163" spans="1:5">
      <c r="A163" s="1" t="s">
        <v>261</v>
      </c>
      <c r="B163" t="s">
        <v>330</v>
      </c>
      <c r="C163" t="s">
        <v>331</v>
      </c>
      <c r="D163">
        <f>OI_param_tuc_May</f>
        <v>0</v>
      </c>
    </row>
    <row r="164" spans="1:5">
      <c r="A164" s="1" t="s">
        <v>261</v>
      </c>
      <c r="B164" t="s">
        <v>332</v>
      </c>
      <c r="C164" t="s">
        <v>333</v>
      </c>
      <c r="D164">
        <f>OI_param_tuc_Jun</f>
        <v>0</v>
      </c>
    </row>
    <row r="165" spans="1:5">
      <c r="A165" s="1" t="s">
        <v>261</v>
      </c>
      <c r="B165" t="s">
        <v>334</v>
      </c>
      <c r="C165" t="s">
        <v>335</v>
      </c>
      <c r="D165">
        <f>OI_param_tuc_Jul</f>
        <v>0</v>
      </c>
    </row>
    <row r="166" spans="1:5">
      <c r="A166" s="1" t="s">
        <v>261</v>
      </c>
      <c r="B166" t="s">
        <v>336</v>
      </c>
      <c r="C166" t="s">
        <v>337</v>
      </c>
      <c r="D166">
        <f>OI_param_tuc_Aug</f>
        <v>0</v>
      </c>
    </row>
    <row r="167" spans="1:5">
      <c r="A167" s="1" t="s">
        <v>261</v>
      </c>
      <c r="B167" t="s">
        <v>338</v>
      </c>
      <c r="C167" t="s">
        <v>339</v>
      </c>
      <c r="D167">
        <f>OI_param_tuc_Sep</f>
        <v>0</v>
      </c>
    </row>
    <row r="168" spans="1:5">
      <c r="A168" s="1" t="s">
        <v>261</v>
      </c>
      <c r="B168" t="s">
        <v>340</v>
      </c>
      <c r="C168" t="s">
        <v>341</v>
      </c>
      <c r="D168">
        <f>OI_param_tuc_Oct</f>
        <v>0</v>
      </c>
    </row>
    <row r="169" spans="1:5">
      <c r="A169" s="1" t="s">
        <v>261</v>
      </c>
      <c r="B169" t="s">
        <v>342</v>
      </c>
      <c r="C169" t="s">
        <v>343</v>
      </c>
      <c r="D169">
        <f>OI_param_tuc_Nov</f>
        <v>0</v>
      </c>
    </row>
    <row r="170" spans="1:5">
      <c r="A170" s="1" t="s">
        <v>261</v>
      </c>
      <c r="B170" t="s">
        <v>344</v>
      </c>
      <c r="C170" t="s">
        <v>345</v>
      </c>
      <c r="D170">
        <f>OI_param_tuc_Dec</f>
        <v>0</v>
      </c>
    </row>
    <row r="171" spans="1:5">
      <c r="A171" s="1" t="s">
        <v>261</v>
      </c>
      <c r="B171" t="s">
        <v>346</v>
      </c>
      <c r="C171" t="s">
        <v>347</v>
      </c>
      <c r="D171">
        <f>OI_param_maxsoc</f>
        <v>0</v>
      </c>
    </row>
    <row r="172" spans="1:5">
      <c r="A172" s="1" t="s">
        <v>261</v>
      </c>
      <c r="B172" t="s">
        <v>348</v>
      </c>
      <c r="C172" t="s">
        <v>349</v>
      </c>
      <c r="D172" t="str">
        <f>OI_param_maxsoc_var</f>
        <v>&lt;Choose&gt;</v>
      </c>
      <c r="E172" t="b">
        <f>(D172="&lt;Choose&gt;")</f>
        <v>1</v>
      </c>
    </row>
    <row r="173" spans="1:5">
      <c r="A173" s="1" t="s">
        <v>261</v>
      </c>
      <c r="B173" t="s">
        <v>350</v>
      </c>
      <c r="C173" t="s">
        <v>351</v>
      </c>
      <c r="D173">
        <f>OI_param_maxsoc_Jan</f>
        <v>0</v>
      </c>
    </row>
    <row r="174" spans="1:5">
      <c r="A174" s="1" t="s">
        <v>261</v>
      </c>
      <c r="B174" t="s">
        <v>352</v>
      </c>
      <c r="C174" t="s">
        <v>353</v>
      </c>
      <c r="D174">
        <f>OI_param_maxsoc_Feb</f>
        <v>0</v>
      </c>
    </row>
    <row r="175" spans="1:5">
      <c r="A175" s="1" t="s">
        <v>261</v>
      </c>
      <c r="B175" t="s">
        <v>354</v>
      </c>
      <c r="C175" t="s">
        <v>355</v>
      </c>
      <c r="D175">
        <f>OI_param_maxsoc_Mar</f>
        <v>0</v>
      </c>
    </row>
    <row r="176" spans="1:5">
      <c r="A176" s="1" t="s">
        <v>261</v>
      </c>
      <c r="B176" t="s">
        <v>356</v>
      </c>
      <c r="C176" t="s">
        <v>357</v>
      </c>
      <c r="D176">
        <f>OI_param_maxsoc_Apr</f>
        <v>0</v>
      </c>
    </row>
    <row r="177" spans="1:5">
      <c r="A177" s="1" t="s">
        <v>261</v>
      </c>
      <c r="B177" t="s">
        <v>358</v>
      </c>
      <c r="C177" t="s">
        <v>359</v>
      </c>
      <c r="D177">
        <f>OI_param_maxsoc_May</f>
        <v>0</v>
      </c>
    </row>
    <row r="178" spans="1:5">
      <c r="A178" s="1" t="s">
        <v>261</v>
      </c>
      <c r="B178" t="s">
        <v>360</v>
      </c>
      <c r="C178" t="s">
        <v>361</v>
      </c>
      <c r="D178">
        <f>OI_param_maxsoc_Jun</f>
        <v>0</v>
      </c>
    </row>
    <row r="179" spans="1:5">
      <c r="A179" s="1" t="s">
        <v>261</v>
      </c>
      <c r="B179" t="s">
        <v>362</v>
      </c>
      <c r="C179" t="s">
        <v>363</v>
      </c>
      <c r="D179">
        <f>OI_param_maxsoc_Jul</f>
        <v>0</v>
      </c>
    </row>
    <row r="180" spans="1:5">
      <c r="A180" s="1" t="s">
        <v>261</v>
      </c>
      <c r="B180" t="s">
        <v>364</v>
      </c>
      <c r="C180" t="s">
        <v>365</v>
      </c>
      <c r="D180">
        <f>OI_param_maxsoc_Aug</f>
        <v>0</v>
      </c>
    </row>
    <row r="181" spans="1:5">
      <c r="A181" s="1" t="s">
        <v>261</v>
      </c>
      <c r="B181" t="s">
        <v>366</v>
      </c>
      <c r="C181" t="s">
        <v>367</v>
      </c>
      <c r="D181">
        <f>OI_param_maxsoc_Sep</f>
        <v>0</v>
      </c>
    </row>
    <row r="182" spans="1:5">
      <c r="A182" s="1" t="s">
        <v>261</v>
      </c>
      <c r="B182" t="s">
        <v>368</v>
      </c>
      <c r="C182" t="s">
        <v>369</v>
      </c>
      <c r="D182">
        <f>OI_param_maxsoc_Oct</f>
        <v>0</v>
      </c>
    </row>
    <row r="183" spans="1:5">
      <c r="A183" s="1" t="s">
        <v>261</v>
      </c>
      <c r="B183" t="s">
        <v>370</v>
      </c>
      <c r="C183" t="s">
        <v>371</v>
      </c>
      <c r="D183">
        <f>OI_param_maxsoc_Nov</f>
        <v>0</v>
      </c>
    </row>
    <row r="184" spans="1:5">
      <c r="A184" s="1" t="s">
        <v>261</v>
      </c>
      <c r="B184" t="s">
        <v>372</v>
      </c>
      <c r="C184" t="s">
        <v>373</v>
      </c>
      <c r="D184">
        <f>OI_param_maxsoc_Dec</f>
        <v>0</v>
      </c>
    </row>
    <row r="185" spans="1:5">
      <c r="A185" s="1" t="s">
        <v>261</v>
      </c>
      <c r="B185" t="s">
        <v>374</v>
      </c>
      <c r="C185" t="s">
        <v>375</v>
      </c>
      <c r="D185">
        <f>OI_param_minsoc</f>
        <v>0</v>
      </c>
    </row>
    <row r="186" spans="1:5">
      <c r="A186" s="1" t="s">
        <v>261</v>
      </c>
      <c r="B186" t="s">
        <v>376</v>
      </c>
      <c r="C186" t="s">
        <v>377</v>
      </c>
      <c r="D186" t="str">
        <f>OI_param_minsoc_var</f>
        <v>&lt;Choose&gt;</v>
      </c>
      <c r="E186" t="b">
        <f>(D186="&lt;Choose&gt;")</f>
        <v>1</v>
      </c>
    </row>
    <row r="187" spans="1:5">
      <c r="A187" s="1" t="s">
        <v>261</v>
      </c>
      <c r="B187" t="s">
        <v>378</v>
      </c>
      <c r="C187" t="s">
        <v>379</v>
      </c>
      <c r="D187">
        <f>OI_param_minsoc_Jan</f>
        <v>0</v>
      </c>
    </row>
    <row r="188" spans="1:5">
      <c r="A188" s="1" t="s">
        <v>261</v>
      </c>
      <c r="B188" t="s">
        <v>380</v>
      </c>
      <c r="C188" t="s">
        <v>381</v>
      </c>
      <c r="D188">
        <f>OI_param_minsoc_Feb</f>
        <v>0</v>
      </c>
    </row>
    <row r="189" spans="1:5">
      <c r="A189" s="1" t="s">
        <v>261</v>
      </c>
      <c r="B189" t="s">
        <v>382</v>
      </c>
      <c r="C189" t="s">
        <v>383</v>
      </c>
      <c r="D189">
        <f>OI_param_minsoc_Mar</f>
        <v>0</v>
      </c>
    </row>
    <row r="190" spans="1:5">
      <c r="A190" s="1" t="s">
        <v>261</v>
      </c>
      <c r="B190" t="s">
        <v>384</v>
      </c>
      <c r="C190" t="s">
        <v>385</v>
      </c>
      <c r="D190">
        <f>OI_param_minsoc_Apr</f>
        <v>0</v>
      </c>
    </row>
    <row r="191" spans="1:5">
      <c r="A191" s="1" t="s">
        <v>261</v>
      </c>
      <c r="B191" t="s">
        <v>386</v>
      </c>
      <c r="C191" t="s">
        <v>387</v>
      </c>
      <c r="D191">
        <f>OI_param_minsoc_May</f>
        <v>0</v>
      </c>
    </row>
    <row r="192" spans="1:5">
      <c r="A192" s="1" t="s">
        <v>261</v>
      </c>
      <c r="B192" t="s">
        <v>388</v>
      </c>
      <c r="C192" t="s">
        <v>389</v>
      </c>
      <c r="D192">
        <f>OI_param_minsoc_Jun</f>
        <v>0</v>
      </c>
    </row>
    <row r="193" spans="1:5">
      <c r="A193" s="1" t="s">
        <v>261</v>
      </c>
      <c r="B193" t="s">
        <v>390</v>
      </c>
      <c r="C193" t="s">
        <v>391</v>
      </c>
      <c r="D193">
        <f>OI_param_minsoc_Jul</f>
        <v>0</v>
      </c>
    </row>
    <row r="194" spans="1:5">
      <c r="A194" s="1" t="s">
        <v>261</v>
      </c>
      <c r="B194" t="s">
        <v>392</v>
      </c>
      <c r="C194" t="s">
        <v>393</v>
      </c>
      <c r="D194">
        <f>OI_param_minsoc_Aug</f>
        <v>0</v>
      </c>
    </row>
    <row r="195" spans="1:5">
      <c r="A195" s="1" t="s">
        <v>261</v>
      </c>
      <c r="B195" t="s">
        <v>394</v>
      </c>
      <c r="C195" t="s">
        <v>395</v>
      </c>
      <c r="D195">
        <f>OI_param_minsoc_Sep</f>
        <v>0</v>
      </c>
    </row>
    <row r="196" spans="1:5">
      <c r="A196" s="1" t="s">
        <v>261</v>
      </c>
      <c r="B196" t="s">
        <v>396</v>
      </c>
      <c r="C196" t="s">
        <v>397</v>
      </c>
      <c r="D196">
        <f>OI_param_minsoc_Oct</f>
        <v>0</v>
      </c>
    </row>
    <row r="197" spans="1:5">
      <c r="A197" s="1" t="s">
        <v>261</v>
      </c>
      <c r="B197" t="s">
        <v>398</v>
      </c>
      <c r="C197" t="s">
        <v>399</v>
      </c>
      <c r="D197">
        <f>OI_param_minsoc_Nov</f>
        <v>0</v>
      </c>
    </row>
    <row r="198" spans="1:5">
      <c r="A198" s="1" t="s">
        <v>261</v>
      </c>
      <c r="B198" t="s">
        <v>400</v>
      </c>
      <c r="C198" t="s">
        <v>401</v>
      </c>
      <c r="D198">
        <f>OI_param_minsoc_Dec</f>
        <v>0</v>
      </c>
    </row>
    <row r="199" spans="1:5">
      <c r="A199" s="1" t="s">
        <v>261</v>
      </c>
      <c r="B199" t="s">
        <v>402</v>
      </c>
      <c r="C199" t="s">
        <v>403</v>
      </c>
      <c r="D199">
        <f>OI_param_dlmax</f>
        <v>0</v>
      </c>
    </row>
    <row r="200" spans="1:5">
      <c r="A200" s="1" t="s">
        <v>261</v>
      </c>
      <c r="B200" t="s">
        <v>404</v>
      </c>
      <c r="C200" t="s">
        <v>405</v>
      </c>
      <c r="D200" t="str">
        <f>OI_param_dlmax_var</f>
        <v>&lt;Choose&gt;</v>
      </c>
      <c r="E200" t="b">
        <f>(D200="&lt;Choose&gt;")</f>
        <v>1</v>
      </c>
    </row>
    <row r="201" spans="1:5">
      <c r="A201" s="1" t="s">
        <v>261</v>
      </c>
      <c r="B201" t="s">
        <v>406</v>
      </c>
      <c r="C201" t="s">
        <v>407</v>
      </c>
      <c r="D201">
        <f>OI_param_dlmax_Jan</f>
        <v>0</v>
      </c>
    </row>
    <row r="202" spans="1:5">
      <c r="A202" s="1" t="s">
        <v>261</v>
      </c>
      <c r="B202" t="s">
        <v>408</v>
      </c>
      <c r="C202" t="s">
        <v>409</v>
      </c>
      <c r="D202">
        <f>OI_param_dlmax_Feb</f>
        <v>0</v>
      </c>
    </row>
    <row r="203" spans="1:5">
      <c r="A203" s="1" t="s">
        <v>261</v>
      </c>
      <c r="B203" t="s">
        <v>410</v>
      </c>
      <c r="C203" t="s">
        <v>411</v>
      </c>
      <c r="D203">
        <f>OI_param_dlmax_Mar</f>
        <v>0</v>
      </c>
    </row>
    <row r="204" spans="1:5">
      <c r="A204" s="1" t="s">
        <v>261</v>
      </c>
      <c r="B204" t="s">
        <v>412</v>
      </c>
      <c r="C204" t="s">
        <v>413</v>
      </c>
      <c r="D204">
        <f>OI_param_dlmax_Apr</f>
        <v>0</v>
      </c>
    </row>
    <row r="205" spans="1:5">
      <c r="A205" s="1" t="s">
        <v>261</v>
      </c>
      <c r="B205" t="s">
        <v>414</v>
      </c>
      <c r="C205" t="s">
        <v>415</v>
      </c>
      <c r="D205">
        <f>OI_param_dlmax_May</f>
        <v>0</v>
      </c>
    </row>
    <row r="206" spans="1:5">
      <c r="A206" s="1" t="s">
        <v>261</v>
      </c>
      <c r="B206" t="s">
        <v>416</v>
      </c>
      <c r="C206" t="s">
        <v>417</v>
      </c>
      <c r="D206">
        <f>OI_param_dlmax_Jun</f>
        <v>0</v>
      </c>
    </row>
    <row r="207" spans="1:5">
      <c r="A207" s="1" t="s">
        <v>261</v>
      </c>
      <c r="B207" t="s">
        <v>418</v>
      </c>
      <c r="C207" t="s">
        <v>419</v>
      </c>
      <c r="D207">
        <f>OI_param_dlmax_Jul</f>
        <v>0</v>
      </c>
    </row>
    <row r="208" spans="1:5">
      <c r="A208" s="1" t="s">
        <v>261</v>
      </c>
      <c r="B208" t="s">
        <v>420</v>
      </c>
      <c r="C208" t="s">
        <v>421</v>
      </c>
      <c r="D208">
        <f>OI_param_dlmax_Aug</f>
        <v>0</v>
      </c>
    </row>
    <row r="209" spans="1:5">
      <c r="A209" s="1" t="s">
        <v>261</v>
      </c>
      <c r="B209" t="s">
        <v>422</v>
      </c>
      <c r="C209" t="s">
        <v>423</v>
      </c>
      <c r="D209">
        <f>OI_param_dlmax_Sep</f>
        <v>0</v>
      </c>
    </row>
    <row r="210" spans="1:5">
      <c r="A210" s="1" t="s">
        <v>261</v>
      </c>
      <c r="B210" t="s">
        <v>424</v>
      </c>
      <c r="C210" t="s">
        <v>425</v>
      </c>
      <c r="D210">
        <f>OI_param_dlmax_Oct</f>
        <v>0</v>
      </c>
    </row>
    <row r="211" spans="1:5">
      <c r="A211" s="1" t="s">
        <v>261</v>
      </c>
      <c r="B211" t="s">
        <v>426</v>
      </c>
      <c r="C211" t="s">
        <v>427</v>
      </c>
      <c r="D211">
        <f>OI_param_dlmax_Nov</f>
        <v>0</v>
      </c>
    </row>
    <row r="212" spans="1:5">
      <c r="A212" s="1" t="s">
        <v>261</v>
      </c>
      <c r="B212" t="s">
        <v>428</v>
      </c>
      <c r="C212" t="s">
        <v>429</v>
      </c>
      <c r="D212">
        <f>OI_param_dlmax_Dec</f>
        <v>0</v>
      </c>
    </row>
    <row r="213" spans="1:5">
      <c r="A213" s="1" t="s">
        <v>261</v>
      </c>
      <c r="B213" t="s">
        <v>430</v>
      </c>
      <c r="C213" t="s">
        <v>431</v>
      </c>
      <c r="D213">
        <f>OI_param_dlmin</f>
        <v>0</v>
      </c>
    </row>
    <row r="214" spans="1:5">
      <c r="A214" s="1" t="s">
        <v>261</v>
      </c>
      <c r="B214" t="s">
        <v>432</v>
      </c>
      <c r="C214" t="s">
        <v>433</v>
      </c>
      <c r="D214" t="str">
        <f>OI_param_dlmin_var</f>
        <v>&lt;Choose&gt;</v>
      </c>
      <c r="E214" t="b">
        <f>(D214="&lt;Choose&gt;")</f>
        <v>1</v>
      </c>
    </row>
    <row r="215" spans="1:5">
      <c r="A215" s="1" t="s">
        <v>261</v>
      </c>
      <c r="B215" t="s">
        <v>434</v>
      </c>
      <c r="C215" t="s">
        <v>435</v>
      </c>
      <c r="D215">
        <f>OI_param_dlmin_Jan</f>
        <v>0</v>
      </c>
    </row>
    <row r="216" spans="1:5">
      <c r="A216" s="1" t="s">
        <v>261</v>
      </c>
      <c r="B216" t="s">
        <v>436</v>
      </c>
      <c r="C216" t="s">
        <v>437</v>
      </c>
      <c r="D216">
        <f>OI_param_dlmin_Feb</f>
        <v>0</v>
      </c>
    </row>
    <row r="217" spans="1:5">
      <c r="A217" s="1" t="s">
        <v>261</v>
      </c>
      <c r="B217" t="s">
        <v>438</v>
      </c>
      <c r="C217" t="s">
        <v>439</v>
      </c>
      <c r="D217">
        <f>OI_param_dlmin_Mar</f>
        <v>0</v>
      </c>
    </row>
    <row r="218" spans="1:5">
      <c r="A218" s="1" t="s">
        <v>261</v>
      </c>
      <c r="B218" t="s">
        <v>440</v>
      </c>
      <c r="C218" t="s">
        <v>441</v>
      </c>
      <c r="D218">
        <f>OI_param_dlmin_Apr</f>
        <v>0</v>
      </c>
    </row>
    <row r="219" spans="1:5">
      <c r="A219" s="1" t="s">
        <v>261</v>
      </c>
      <c r="B219" t="s">
        <v>442</v>
      </c>
      <c r="C219" t="s">
        <v>443</v>
      </c>
      <c r="D219">
        <f>OI_param_dlmin_May</f>
        <v>0</v>
      </c>
    </row>
    <row r="220" spans="1:5">
      <c r="A220" s="1" t="s">
        <v>261</v>
      </c>
      <c r="B220" t="s">
        <v>444</v>
      </c>
      <c r="C220" t="s">
        <v>445</v>
      </c>
      <c r="D220">
        <f>OI_param_dlmin_Jun</f>
        <v>0</v>
      </c>
    </row>
    <row r="221" spans="1:5">
      <c r="A221" s="1" t="s">
        <v>261</v>
      </c>
      <c r="B221" t="s">
        <v>446</v>
      </c>
      <c r="C221" t="s">
        <v>447</v>
      </c>
      <c r="D221">
        <f>OI_param_dlmin_Jul</f>
        <v>0</v>
      </c>
    </row>
    <row r="222" spans="1:5">
      <c r="A222" s="1" t="s">
        <v>261</v>
      </c>
      <c r="B222" t="s">
        <v>448</v>
      </c>
      <c r="C222" t="s">
        <v>449</v>
      </c>
      <c r="D222">
        <f>OI_param_dlmin_Aug</f>
        <v>0</v>
      </c>
    </row>
    <row r="223" spans="1:5">
      <c r="A223" s="1" t="s">
        <v>261</v>
      </c>
      <c r="B223" t="s">
        <v>450</v>
      </c>
      <c r="C223" t="s">
        <v>451</v>
      </c>
      <c r="D223">
        <f>OI_param_dlmin_Sep</f>
        <v>0</v>
      </c>
    </row>
    <row r="224" spans="1:5">
      <c r="A224" s="1" t="s">
        <v>261</v>
      </c>
      <c r="B224" t="s">
        <v>452</v>
      </c>
      <c r="C224" t="s">
        <v>453</v>
      </c>
      <c r="D224">
        <f>OI_param_dlmin_Oct</f>
        <v>0</v>
      </c>
    </row>
    <row r="225" spans="1:5">
      <c r="A225" s="1" t="s">
        <v>261</v>
      </c>
      <c r="B225" t="s">
        <v>454</v>
      </c>
      <c r="C225" t="s">
        <v>455</v>
      </c>
      <c r="D225">
        <f>OI_param_dlmin_Nov</f>
        <v>0</v>
      </c>
    </row>
    <row r="226" spans="1:5">
      <c r="A226" s="1" t="s">
        <v>261</v>
      </c>
      <c r="B226" t="s">
        <v>456</v>
      </c>
      <c r="C226" t="s">
        <v>457</v>
      </c>
      <c r="D226">
        <f>OI_param_dlmin_Dec</f>
        <v>0</v>
      </c>
    </row>
    <row r="227" spans="1:5">
      <c r="A227" s="1" t="s">
        <v>261</v>
      </c>
      <c r="B227" t="s">
        <v>458</v>
      </c>
      <c r="C227" t="s">
        <v>459</v>
      </c>
      <c r="D227" t="e">
        <f>OI_param_adr</f>
        <v>#REF!</v>
      </c>
    </row>
    <row r="228" spans="1:5">
      <c r="A228" s="1" t="s">
        <v>261</v>
      </c>
      <c r="B228" t="s">
        <v>460</v>
      </c>
      <c r="C228" t="s">
        <v>461</v>
      </c>
      <c r="D228" t="e">
        <f>OI_param_adr_var</f>
        <v>#REF!</v>
      </c>
      <c r="E228" t="e">
        <f>(D228="&lt;Choose&gt;")</f>
        <v>#REF!</v>
      </c>
    </row>
    <row r="229" spans="1:5">
      <c r="A229" s="1" t="s">
        <v>261</v>
      </c>
      <c r="B229" t="s">
        <v>462</v>
      </c>
      <c r="C229" t="s">
        <v>463</v>
      </c>
      <c r="D229" t="e">
        <f>OI_param_adr_Jan</f>
        <v>#REF!</v>
      </c>
    </row>
    <row r="230" spans="1:5">
      <c r="A230" s="1" t="s">
        <v>261</v>
      </c>
      <c r="B230" t="s">
        <v>464</v>
      </c>
      <c r="C230" t="s">
        <v>465</v>
      </c>
      <c r="D230" t="e">
        <f>OI_param_adr_Feb</f>
        <v>#REF!</v>
      </c>
    </row>
    <row r="231" spans="1:5">
      <c r="A231" s="1" t="s">
        <v>261</v>
      </c>
      <c r="B231" t="s">
        <v>466</v>
      </c>
      <c r="C231" t="s">
        <v>467</v>
      </c>
      <c r="D231" t="e">
        <f>OI_param_adr_Mar</f>
        <v>#REF!</v>
      </c>
    </row>
    <row r="232" spans="1:5">
      <c r="A232" s="1" t="s">
        <v>261</v>
      </c>
      <c r="B232" t="s">
        <v>468</v>
      </c>
      <c r="C232" t="s">
        <v>469</v>
      </c>
      <c r="D232" t="e">
        <f>OI_param_adr_Apr</f>
        <v>#REF!</v>
      </c>
    </row>
    <row r="233" spans="1:5">
      <c r="A233" s="1" t="s">
        <v>261</v>
      </c>
      <c r="B233" t="s">
        <v>470</v>
      </c>
      <c r="C233" t="s">
        <v>471</v>
      </c>
      <c r="D233" t="e">
        <f>OI_param_adr_May</f>
        <v>#REF!</v>
      </c>
    </row>
    <row r="234" spans="1:5">
      <c r="A234" s="1" t="s">
        <v>261</v>
      </c>
      <c r="B234" t="s">
        <v>472</v>
      </c>
      <c r="C234" t="s">
        <v>473</v>
      </c>
      <c r="D234" t="e">
        <f>OI_param_adr_Jun</f>
        <v>#REF!</v>
      </c>
    </row>
    <row r="235" spans="1:5">
      <c r="A235" s="1" t="s">
        <v>261</v>
      </c>
      <c r="B235" t="s">
        <v>474</v>
      </c>
      <c r="C235" t="s">
        <v>475</v>
      </c>
      <c r="D235" t="e">
        <f>OI_param_adr_Jul</f>
        <v>#REF!</v>
      </c>
    </row>
    <row r="236" spans="1:5">
      <c r="A236" s="1" t="s">
        <v>261</v>
      </c>
      <c r="B236" t="s">
        <v>476</v>
      </c>
      <c r="C236" t="s">
        <v>477</v>
      </c>
      <c r="D236" t="e">
        <f>OI_param_adr_Aug</f>
        <v>#REF!</v>
      </c>
    </row>
    <row r="237" spans="1:5">
      <c r="A237" s="1" t="s">
        <v>261</v>
      </c>
      <c r="B237" t="s">
        <v>478</v>
      </c>
      <c r="C237" t="s">
        <v>479</v>
      </c>
      <c r="D237" t="e">
        <f>OI_param_adr_Sep</f>
        <v>#REF!</v>
      </c>
    </row>
    <row r="238" spans="1:5">
      <c r="A238" s="1" t="s">
        <v>261</v>
      </c>
      <c r="B238" t="s">
        <v>480</v>
      </c>
      <c r="C238" t="s">
        <v>481</v>
      </c>
      <c r="D238" t="e">
        <f>OI_param_adr_Oct</f>
        <v>#REF!</v>
      </c>
    </row>
    <row r="239" spans="1:5">
      <c r="A239" s="1" t="s">
        <v>261</v>
      </c>
      <c r="B239" t="s">
        <v>482</v>
      </c>
      <c r="C239" t="s">
        <v>483</v>
      </c>
      <c r="D239" t="e">
        <f>OI_param_adr_Nov</f>
        <v>#REF!</v>
      </c>
    </row>
    <row r="240" spans="1:5">
      <c r="A240" s="1" t="s">
        <v>261</v>
      </c>
      <c r="B240" t="s">
        <v>484</v>
      </c>
      <c r="C240" t="s">
        <v>485</v>
      </c>
      <c r="D240" t="e">
        <f>OI_param_adr_Dec</f>
        <v>#REF!</v>
      </c>
    </row>
    <row r="241" spans="1:5">
      <c r="A241" s="1" t="s">
        <v>261</v>
      </c>
      <c r="B241" t="s">
        <v>486</v>
      </c>
      <c r="C241" t="s">
        <v>487</v>
      </c>
      <c r="D241">
        <f>OI_param_mdfd</f>
        <v>0</v>
      </c>
    </row>
    <row r="242" spans="1:5">
      <c r="A242" s="1" t="s">
        <v>261</v>
      </c>
      <c r="B242" t="s">
        <v>488</v>
      </c>
      <c r="C242" t="s">
        <v>489</v>
      </c>
      <c r="D242" t="str">
        <f>OI_param_mdfd_var</f>
        <v>&lt;Choose&gt;</v>
      </c>
      <c r="E242" t="b">
        <f>(D242="&lt;Choose&gt;")</f>
        <v>1</v>
      </c>
    </row>
    <row r="243" spans="1:5">
      <c r="A243" s="1" t="s">
        <v>261</v>
      </c>
      <c r="B243" t="s">
        <v>490</v>
      </c>
      <c r="C243" t="s">
        <v>491</v>
      </c>
      <c r="D243">
        <f>OI_param_mdfd_Jan</f>
        <v>0</v>
      </c>
    </row>
    <row r="244" spans="1:5">
      <c r="A244" s="1" t="s">
        <v>261</v>
      </c>
      <c r="B244" t="s">
        <v>492</v>
      </c>
      <c r="C244" t="s">
        <v>493</v>
      </c>
      <c r="D244">
        <f>OI_param_mdfd_Feb</f>
        <v>0</v>
      </c>
    </row>
    <row r="245" spans="1:5">
      <c r="A245" s="1" t="s">
        <v>261</v>
      </c>
      <c r="B245" t="s">
        <v>494</v>
      </c>
      <c r="C245" t="s">
        <v>495</v>
      </c>
      <c r="D245">
        <f>OI_param_mdfd_Mar</f>
        <v>0</v>
      </c>
    </row>
    <row r="246" spans="1:5">
      <c r="A246" s="1" t="s">
        <v>261</v>
      </c>
      <c r="B246" t="s">
        <v>496</v>
      </c>
      <c r="C246" t="s">
        <v>497</v>
      </c>
      <c r="D246">
        <f>OI_param_mdfd_Apr</f>
        <v>0</v>
      </c>
    </row>
    <row r="247" spans="1:5">
      <c r="A247" s="1" t="s">
        <v>261</v>
      </c>
      <c r="B247" t="s">
        <v>498</v>
      </c>
      <c r="C247" t="s">
        <v>499</v>
      </c>
      <c r="D247" t="e">
        <f>OI_param_mdfd_May</f>
        <v>#REF!</v>
      </c>
    </row>
    <row r="248" spans="1:5">
      <c r="A248" s="1" t="s">
        <v>261</v>
      </c>
      <c r="B248" t="s">
        <v>500</v>
      </c>
      <c r="C248" t="s">
        <v>501</v>
      </c>
      <c r="D248" t="e">
        <f>OI_param_mdfd_Jun</f>
        <v>#REF!</v>
      </c>
    </row>
    <row r="249" spans="1:5">
      <c r="A249" s="1" t="s">
        <v>261</v>
      </c>
      <c r="B249" t="s">
        <v>502</v>
      </c>
      <c r="C249" t="s">
        <v>503</v>
      </c>
      <c r="D249">
        <f>OI_param_mdfd_Jul</f>
        <v>0</v>
      </c>
    </row>
    <row r="250" spans="1:5">
      <c r="A250" s="1" t="s">
        <v>261</v>
      </c>
      <c r="B250" t="s">
        <v>504</v>
      </c>
      <c r="C250" t="s">
        <v>505</v>
      </c>
      <c r="D250">
        <f>OI_param_mdfd_Aug</f>
        <v>0</v>
      </c>
    </row>
    <row r="251" spans="1:5">
      <c r="A251" s="1" t="s">
        <v>261</v>
      </c>
      <c r="B251" t="s">
        <v>506</v>
      </c>
      <c r="C251" t="s">
        <v>507</v>
      </c>
      <c r="D251">
        <f>OI_param_mdfd_Sep</f>
        <v>0</v>
      </c>
    </row>
    <row r="252" spans="1:5">
      <c r="A252" s="1" t="s">
        <v>261</v>
      </c>
      <c r="B252" t="s">
        <v>508</v>
      </c>
      <c r="C252" t="s">
        <v>509</v>
      </c>
      <c r="D252">
        <f>OI_param_mdfd_Oct</f>
        <v>0</v>
      </c>
    </row>
    <row r="253" spans="1:5">
      <c r="A253" s="1" t="s">
        <v>261</v>
      </c>
      <c r="B253" t="s">
        <v>510</v>
      </c>
      <c r="C253" t="s">
        <v>511</v>
      </c>
      <c r="D253">
        <f>OI_param_mdfd_Nov</f>
        <v>0</v>
      </c>
    </row>
    <row r="254" spans="1:5">
      <c r="A254" s="1" t="s">
        <v>261</v>
      </c>
      <c r="B254" t="s">
        <v>512</v>
      </c>
      <c r="C254" t="s">
        <v>513</v>
      </c>
      <c r="D254">
        <f>OI_param_mdfd_Dec</f>
        <v>0</v>
      </c>
    </row>
    <row r="255" spans="1:5">
      <c r="A255" s="1" t="s">
        <v>261</v>
      </c>
      <c r="B255" t="s">
        <v>514</v>
      </c>
      <c r="C255" t="s">
        <v>515</v>
      </c>
      <c r="D255">
        <f>OI_param_clmax</f>
        <v>0</v>
      </c>
    </row>
    <row r="256" spans="1:5">
      <c r="A256" s="1" t="s">
        <v>261</v>
      </c>
      <c r="B256" t="s">
        <v>516</v>
      </c>
      <c r="C256" t="s">
        <v>517</v>
      </c>
      <c r="D256" t="str">
        <f>OI_param_clmax_var</f>
        <v>&lt;Choose&gt;</v>
      </c>
      <c r="E256" t="b">
        <f>(D256="&lt;Choose&gt;")</f>
        <v>1</v>
      </c>
    </row>
    <row r="257" spans="1:5">
      <c r="A257" s="1" t="s">
        <v>261</v>
      </c>
      <c r="B257" t="s">
        <v>518</v>
      </c>
      <c r="C257" t="s">
        <v>519</v>
      </c>
      <c r="D257">
        <f>OI_param_clmax_Jan</f>
        <v>0</v>
      </c>
    </row>
    <row r="258" spans="1:5">
      <c r="A258" s="1" t="s">
        <v>261</v>
      </c>
      <c r="B258" t="s">
        <v>520</v>
      </c>
      <c r="C258" t="s">
        <v>521</v>
      </c>
      <c r="D258">
        <f>OI_param_clmax_Feb</f>
        <v>0</v>
      </c>
    </row>
    <row r="259" spans="1:5">
      <c r="A259" s="1" t="s">
        <v>261</v>
      </c>
      <c r="B259" t="s">
        <v>522</v>
      </c>
      <c r="C259" t="s">
        <v>523</v>
      </c>
      <c r="D259">
        <f>OI_param_clmax_Mar</f>
        <v>0</v>
      </c>
    </row>
    <row r="260" spans="1:5">
      <c r="A260" s="1" t="s">
        <v>261</v>
      </c>
      <c r="B260" t="s">
        <v>524</v>
      </c>
      <c r="C260" t="s">
        <v>525</v>
      </c>
      <c r="D260">
        <f>OI_param_clmax_Apr</f>
        <v>0</v>
      </c>
    </row>
    <row r="261" spans="1:5">
      <c r="A261" s="1" t="s">
        <v>261</v>
      </c>
      <c r="B261" t="s">
        <v>526</v>
      </c>
      <c r="C261" t="s">
        <v>527</v>
      </c>
      <c r="D261">
        <f>OI_param_clmax_May</f>
        <v>0</v>
      </c>
    </row>
    <row r="262" spans="1:5">
      <c r="A262" s="1" t="s">
        <v>261</v>
      </c>
      <c r="B262" t="s">
        <v>528</v>
      </c>
      <c r="C262" t="s">
        <v>529</v>
      </c>
      <c r="D262">
        <f>OI_param_clmax_Jun</f>
        <v>0</v>
      </c>
    </row>
    <row r="263" spans="1:5">
      <c r="A263" s="1" t="s">
        <v>261</v>
      </c>
      <c r="B263" t="s">
        <v>530</v>
      </c>
      <c r="C263" t="s">
        <v>531</v>
      </c>
      <c r="D263">
        <f>OI_param_clmax_Jul</f>
        <v>0</v>
      </c>
    </row>
    <row r="264" spans="1:5">
      <c r="A264" s="1" t="s">
        <v>261</v>
      </c>
      <c r="B264" t="s">
        <v>532</v>
      </c>
      <c r="C264" t="s">
        <v>533</v>
      </c>
      <c r="D264">
        <f>OI_param_clmax_Aug</f>
        <v>0</v>
      </c>
    </row>
    <row r="265" spans="1:5">
      <c r="A265" s="1" t="s">
        <v>261</v>
      </c>
      <c r="B265" t="s">
        <v>534</v>
      </c>
      <c r="C265" t="s">
        <v>535</v>
      </c>
      <c r="D265">
        <f>OI_param_clmax_Sep</f>
        <v>0</v>
      </c>
    </row>
    <row r="266" spans="1:5">
      <c r="A266" s="1" t="s">
        <v>261</v>
      </c>
      <c r="B266" t="s">
        <v>536</v>
      </c>
      <c r="C266" t="s">
        <v>537</v>
      </c>
      <c r="D266">
        <f>OI_param_clmax_Oct</f>
        <v>0</v>
      </c>
    </row>
    <row r="267" spans="1:5">
      <c r="A267" s="1" t="s">
        <v>261</v>
      </c>
      <c r="B267" t="s">
        <v>538</v>
      </c>
      <c r="C267" t="s">
        <v>539</v>
      </c>
      <c r="D267">
        <f>OI_param_clmax_Nov</f>
        <v>0</v>
      </c>
    </row>
    <row r="268" spans="1:5">
      <c r="A268" s="1" t="s">
        <v>261</v>
      </c>
      <c r="B268" t="s">
        <v>540</v>
      </c>
      <c r="C268" t="s">
        <v>541</v>
      </c>
      <c r="D268">
        <f>OI_param_clmax_Dec</f>
        <v>0</v>
      </c>
    </row>
    <row r="269" spans="1:5">
      <c r="A269" s="1" t="s">
        <v>261</v>
      </c>
      <c r="B269" t="s">
        <v>542</v>
      </c>
      <c r="C269" t="s">
        <v>543</v>
      </c>
      <c r="D269">
        <f>OI_param_clmin</f>
        <v>0</v>
      </c>
    </row>
    <row r="270" spans="1:5">
      <c r="A270" s="1" t="s">
        <v>261</v>
      </c>
      <c r="B270" t="s">
        <v>544</v>
      </c>
      <c r="C270" t="s">
        <v>545</v>
      </c>
      <c r="D270" t="str">
        <f>OI_param_clmin_var</f>
        <v>&lt;Choose&gt;</v>
      </c>
      <c r="E270" t="b">
        <f>(D270="&lt;Choose&gt;")</f>
        <v>1</v>
      </c>
    </row>
    <row r="271" spans="1:5">
      <c r="A271" s="1" t="s">
        <v>261</v>
      </c>
      <c r="B271" t="s">
        <v>546</v>
      </c>
      <c r="C271" t="s">
        <v>547</v>
      </c>
      <c r="D271">
        <f>OI_param_clmin_Jan</f>
        <v>0</v>
      </c>
    </row>
    <row r="272" spans="1:5">
      <c r="A272" s="1" t="s">
        <v>261</v>
      </c>
      <c r="B272" t="s">
        <v>548</v>
      </c>
      <c r="C272" t="s">
        <v>549</v>
      </c>
      <c r="D272">
        <f>OI_param_clmin_Feb</f>
        <v>0</v>
      </c>
    </row>
    <row r="273" spans="1:5">
      <c r="A273" s="1" t="s">
        <v>261</v>
      </c>
      <c r="B273" t="s">
        <v>550</v>
      </c>
      <c r="C273" t="s">
        <v>551</v>
      </c>
      <c r="D273">
        <f>OI_param_clmin_Mar</f>
        <v>0</v>
      </c>
    </row>
    <row r="274" spans="1:5">
      <c r="A274" s="1" t="s">
        <v>261</v>
      </c>
      <c r="B274" t="s">
        <v>552</v>
      </c>
      <c r="C274" t="s">
        <v>553</v>
      </c>
      <c r="D274">
        <f>OI_param_clmin_Apr</f>
        <v>0</v>
      </c>
    </row>
    <row r="275" spans="1:5">
      <c r="A275" s="1" t="s">
        <v>261</v>
      </c>
      <c r="B275" t="s">
        <v>554</v>
      </c>
      <c r="C275" t="s">
        <v>555</v>
      </c>
      <c r="D275">
        <f>OI_param_clmin_May</f>
        <v>0</v>
      </c>
    </row>
    <row r="276" spans="1:5">
      <c r="A276" s="1" t="s">
        <v>261</v>
      </c>
      <c r="B276" t="s">
        <v>556</v>
      </c>
      <c r="C276" t="s">
        <v>557</v>
      </c>
      <c r="D276">
        <f>OI_param_clmin_Jun</f>
        <v>0</v>
      </c>
    </row>
    <row r="277" spans="1:5">
      <c r="A277" s="1" t="s">
        <v>261</v>
      </c>
      <c r="B277" t="s">
        <v>558</v>
      </c>
      <c r="C277" t="s">
        <v>559</v>
      </c>
      <c r="D277">
        <f>OI_param_clmin_Jul</f>
        <v>0</v>
      </c>
    </row>
    <row r="278" spans="1:5">
      <c r="A278" s="1" t="s">
        <v>261</v>
      </c>
      <c r="B278" t="s">
        <v>560</v>
      </c>
      <c r="C278" t="s">
        <v>561</v>
      </c>
      <c r="D278">
        <f>OI_param_clmin_Aug</f>
        <v>0</v>
      </c>
    </row>
    <row r="279" spans="1:5">
      <c r="A279" s="1" t="s">
        <v>261</v>
      </c>
      <c r="B279" t="s">
        <v>562</v>
      </c>
      <c r="C279" t="s">
        <v>563</v>
      </c>
      <c r="D279">
        <f>OI_param_clmin_Sep</f>
        <v>0</v>
      </c>
    </row>
    <row r="280" spans="1:5">
      <c r="A280" s="1" t="s">
        <v>261</v>
      </c>
      <c r="B280" t="s">
        <v>564</v>
      </c>
      <c r="C280" t="s">
        <v>565</v>
      </c>
      <c r="D280">
        <f>OI_param_clmin_Oct</f>
        <v>0</v>
      </c>
    </row>
    <row r="281" spans="1:5">
      <c r="A281" s="1" t="s">
        <v>261</v>
      </c>
      <c r="B281" t="s">
        <v>566</v>
      </c>
      <c r="C281" t="s">
        <v>567</v>
      </c>
      <c r="D281">
        <f>OI_param_clmin_Nov</f>
        <v>0</v>
      </c>
    </row>
    <row r="282" spans="1:5">
      <c r="A282" s="1" t="s">
        <v>261</v>
      </c>
      <c r="B282" t="s">
        <v>568</v>
      </c>
      <c r="C282" t="s">
        <v>569</v>
      </c>
      <c r="D282">
        <f>OI_param_clmin_Dec</f>
        <v>0</v>
      </c>
    </row>
    <row r="283" spans="1:5">
      <c r="A283" s="1" t="s">
        <v>261</v>
      </c>
      <c r="B283" t="s">
        <v>570</v>
      </c>
      <c r="C283" t="s">
        <v>571</v>
      </c>
      <c r="D283" t="e">
        <f>OI_param_acr</f>
        <v>#REF!</v>
      </c>
    </row>
    <row r="284" spans="1:5">
      <c r="A284" s="1" t="s">
        <v>261</v>
      </c>
      <c r="B284" t="s">
        <v>572</v>
      </c>
      <c r="C284" t="s">
        <v>573</v>
      </c>
      <c r="D284" t="e">
        <f>OI_param_acr_var</f>
        <v>#REF!</v>
      </c>
      <c r="E284" t="e">
        <f>(D284="&lt;Choose&gt;")</f>
        <v>#REF!</v>
      </c>
    </row>
    <row r="285" spans="1:5">
      <c r="A285" s="1" t="s">
        <v>261</v>
      </c>
      <c r="B285" t="s">
        <v>574</v>
      </c>
      <c r="C285" t="s">
        <v>575</v>
      </c>
      <c r="D285" t="e">
        <f>OI_param_acr_Jan</f>
        <v>#REF!</v>
      </c>
    </row>
    <row r="286" spans="1:5">
      <c r="A286" s="1" t="s">
        <v>261</v>
      </c>
      <c r="B286" t="s">
        <v>576</v>
      </c>
      <c r="C286" t="s">
        <v>577</v>
      </c>
      <c r="D286" t="e">
        <f>OI_param_acr_Feb</f>
        <v>#REF!</v>
      </c>
    </row>
    <row r="287" spans="1:5">
      <c r="A287" s="1" t="s">
        <v>261</v>
      </c>
      <c r="B287" t="s">
        <v>578</v>
      </c>
      <c r="C287" t="s">
        <v>579</v>
      </c>
      <c r="D287" t="e">
        <f>OI_param_acr_Mar</f>
        <v>#REF!</v>
      </c>
    </row>
    <row r="288" spans="1:5">
      <c r="A288" s="1" t="s">
        <v>261</v>
      </c>
      <c r="B288" t="s">
        <v>580</v>
      </c>
      <c r="C288" t="s">
        <v>581</v>
      </c>
      <c r="D288" t="e">
        <f>OI_param_acr_Apr</f>
        <v>#REF!</v>
      </c>
    </row>
    <row r="289" spans="1:5">
      <c r="A289" s="1" t="s">
        <v>261</v>
      </c>
      <c r="B289" t="s">
        <v>582</v>
      </c>
      <c r="C289" t="s">
        <v>583</v>
      </c>
      <c r="D289" t="e">
        <f>OI_param_acr_May</f>
        <v>#REF!</v>
      </c>
    </row>
    <row r="290" spans="1:5">
      <c r="A290" s="1" t="s">
        <v>261</v>
      </c>
      <c r="B290" t="s">
        <v>584</v>
      </c>
      <c r="C290" t="s">
        <v>585</v>
      </c>
      <c r="D290" t="e">
        <f>OI_param_acr_Jun</f>
        <v>#REF!</v>
      </c>
    </row>
    <row r="291" spans="1:5">
      <c r="A291" s="1" t="s">
        <v>261</v>
      </c>
      <c r="B291" t="s">
        <v>586</v>
      </c>
      <c r="C291" t="s">
        <v>587</v>
      </c>
      <c r="D291" t="e">
        <f>OI_param_acr_Jul</f>
        <v>#REF!</v>
      </c>
    </row>
    <row r="292" spans="1:5">
      <c r="A292" s="1" t="s">
        <v>261</v>
      </c>
      <c r="B292" t="s">
        <v>588</v>
      </c>
      <c r="C292" t="s">
        <v>589</v>
      </c>
      <c r="D292" t="e">
        <f>OI_param_acr_Aug</f>
        <v>#REF!</v>
      </c>
    </row>
    <row r="293" spans="1:5">
      <c r="A293" s="1" t="s">
        <v>261</v>
      </c>
      <c r="B293" t="s">
        <v>590</v>
      </c>
      <c r="C293" t="s">
        <v>591</v>
      </c>
      <c r="D293" t="e">
        <f>OI_param_acr_Sep</f>
        <v>#REF!</v>
      </c>
    </row>
    <row r="294" spans="1:5">
      <c r="A294" s="1" t="s">
        <v>261</v>
      </c>
      <c r="B294" t="s">
        <v>592</v>
      </c>
      <c r="C294" t="s">
        <v>593</v>
      </c>
      <c r="D294" t="e">
        <f>OI_param_acr_Oct</f>
        <v>#REF!</v>
      </c>
    </row>
    <row r="295" spans="1:5">
      <c r="A295" s="1" t="s">
        <v>261</v>
      </c>
      <c r="B295" t="s">
        <v>594</v>
      </c>
      <c r="C295" t="s">
        <v>595</v>
      </c>
      <c r="D295" t="e">
        <f>OI_param_acr_Nov</f>
        <v>#REF!</v>
      </c>
    </row>
    <row r="296" spans="1:5">
      <c r="A296" s="1" t="s">
        <v>261</v>
      </c>
      <c r="B296" t="s">
        <v>596</v>
      </c>
      <c r="C296" t="s">
        <v>597</v>
      </c>
      <c r="D296" t="e">
        <f>OI_param_acr_Dec</f>
        <v>#REF!</v>
      </c>
    </row>
    <row r="297" spans="1:5">
      <c r="A297" s="1" t="s">
        <v>261</v>
      </c>
      <c r="B297" t="s">
        <v>598</v>
      </c>
      <c r="C297" t="s">
        <v>599</v>
      </c>
      <c r="D297">
        <f>OI_param_mdfc</f>
        <v>0</v>
      </c>
    </row>
    <row r="298" spans="1:5">
      <c r="A298" s="1" t="s">
        <v>261</v>
      </c>
      <c r="B298" t="s">
        <v>600</v>
      </c>
      <c r="C298" t="s">
        <v>601</v>
      </c>
      <c r="D298" t="str">
        <f>OI_param_mdfc_var</f>
        <v>&lt;Choose&gt;</v>
      </c>
      <c r="E298" t="b">
        <f>(D298="&lt;Choose&gt;")</f>
        <v>1</v>
      </c>
    </row>
    <row r="299" spans="1:5">
      <c r="A299" s="1" t="s">
        <v>261</v>
      </c>
      <c r="B299" t="s">
        <v>602</v>
      </c>
      <c r="C299" t="s">
        <v>603</v>
      </c>
      <c r="D299">
        <f>OI_param_mdfc_Jan</f>
        <v>0</v>
      </c>
    </row>
    <row r="300" spans="1:5">
      <c r="A300" s="1" t="s">
        <v>261</v>
      </c>
      <c r="B300" t="s">
        <v>604</v>
      </c>
      <c r="C300" t="s">
        <v>605</v>
      </c>
      <c r="D300">
        <f>OI_param_mdfc_Feb</f>
        <v>0</v>
      </c>
    </row>
    <row r="301" spans="1:5">
      <c r="A301" s="1" t="s">
        <v>261</v>
      </c>
      <c r="B301" t="s">
        <v>606</v>
      </c>
      <c r="C301" t="s">
        <v>607</v>
      </c>
      <c r="D301">
        <f>OI_param_mdfc_Mar</f>
        <v>0</v>
      </c>
    </row>
    <row r="302" spans="1:5">
      <c r="A302" s="1" t="s">
        <v>261</v>
      </c>
      <c r="B302" t="s">
        <v>608</v>
      </c>
      <c r="C302" t="s">
        <v>609</v>
      </c>
      <c r="D302">
        <f>OI_param_mdfc_Apr</f>
        <v>0</v>
      </c>
    </row>
    <row r="303" spans="1:5">
      <c r="A303" s="1" t="s">
        <v>261</v>
      </c>
      <c r="B303" t="s">
        <v>610</v>
      </c>
      <c r="C303" t="s">
        <v>611</v>
      </c>
      <c r="D303">
        <f>OI_param_mdfc_May</f>
        <v>0</v>
      </c>
    </row>
    <row r="304" spans="1:5">
      <c r="A304" s="1" t="s">
        <v>261</v>
      </c>
      <c r="B304" t="s">
        <v>612</v>
      </c>
      <c r="C304" t="s">
        <v>613</v>
      </c>
      <c r="D304">
        <f>OI_param_mdfc_Jun</f>
        <v>0</v>
      </c>
    </row>
    <row r="305" spans="1:5">
      <c r="A305" s="1" t="s">
        <v>261</v>
      </c>
      <c r="B305" t="s">
        <v>614</v>
      </c>
      <c r="C305" t="s">
        <v>615</v>
      </c>
      <c r="D305">
        <f>OI_param_mdfc_Jul</f>
        <v>0</v>
      </c>
    </row>
    <row r="306" spans="1:5">
      <c r="A306" s="1" t="s">
        <v>261</v>
      </c>
      <c r="B306" t="s">
        <v>616</v>
      </c>
      <c r="C306" t="s">
        <v>617</v>
      </c>
      <c r="D306">
        <f>OI_param_mdfc_Aug</f>
        <v>0</v>
      </c>
    </row>
    <row r="307" spans="1:5">
      <c r="A307" s="1" t="s">
        <v>261</v>
      </c>
      <c r="B307" t="s">
        <v>618</v>
      </c>
      <c r="C307" t="s">
        <v>619</v>
      </c>
      <c r="D307">
        <f>OI_param_mdfc_Sep</f>
        <v>0</v>
      </c>
    </row>
    <row r="308" spans="1:5">
      <c r="A308" s="1" t="s">
        <v>261</v>
      </c>
      <c r="B308" t="s">
        <v>620</v>
      </c>
      <c r="C308" t="s">
        <v>621</v>
      </c>
      <c r="D308">
        <f>OI_param_mdfc_Oct</f>
        <v>0</v>
      </c>
    </row>
    <row r="309" spans="1:5">
      <c r="A309" s="1" t="s">
        <v>261</v>
      </c>
      <c r="B309" t="s">
        <v>622</v>
      </c>
      <c r="C309" t="s">
        <v>623</v>
      </c>
      <c r="D309">
        <f>OI_param_mdfc_Nov</f>
        <v>0</v>
      </c>
    </row>
    <row r="310" spans="1:5">
      <c r="A310" s="1" t="s">
        <v>261</v>
      </c>
      <c r="B310" t="s">
        <v>624</v>
      </c>
      <c r="C310" t="s">
        <v>625</v>
      </c>
      <c r="D310">
        <f>OI_param_mdfc_Dec</f>
        <v>0</v>
      </c>
    </row>
    <row r="311" spans="1:5">
      <c r="A311" s="1" t="s">
        <v>261</v>
      </c>
      <c r="B311" t="s">
        <v>626</v>
      </c>
      <c r="C311" t="s">
        <v>627</v>
      </c>
      <c r="D311">
        <f>OI_param_il</f>
        <v>0</v>
      </c>
    </row>
    <row r="312" spans="1:5">
      <c r="A312" s="1" t="s">
        <v>261</v>
      </c>
      <c r="B312" t="s">
        <v>628</v>
      </c>
      <c r="C312" t="s">
        <v>629</v>
      </c>
      <c r="D312" t="str">
        <f>OI_param_il_var</f>
        <v>&lt;Choose&gt;</v>
      </c>
      <c r="E312" t="b">
        <f>(D312="&lt;Choose&gt;")</f>
        <v>1</v>
      </c>
    </row>
    <row r="313" spans="1:5">
      <c r="A313" s="1" t="s">
        <v>261</v>
      </c>
      <c r="B313" t="s">
        <v>630</v>
      </c>
      <c r="C313" t="s">
        <v>631</v>
      </c>
      <c r="D313">
        <f>OI_param_il_Jan</f>
        <v>0</v>
      </c>
    </row>
    <row r="314" spans="1:5">
      <c r="A314" s="1" t="s">
        <v>261</v>
      </c>
      <c r="B314" t="s">
        <v>632</v>
      </c>
      <c r="C314" t="s">
        <v>633</v>
      </c>
      <c r="D314">
        <f>OI_param_il_Feb</f>
        <v>0</v>
      </c>
    </row>
    <row r="315" spans="1:5">
      <c r="A315" s="1" t="s">
        <v>261</v>
      </c>
      <c r="B315" t="s">
        <v>634</v>
      </c>
      <c r="C315" t="s">
        <v>635</v>
      </c>
      <c r="D315">
        <f>OI_param_il_Mar</f>
        <v>0</v>
      </c>
    </row>
    <row r="316" spans="1:5">
      <c r="A316" s="1" t="s">
        <v>261</v>
      </c>
      <c r="B316" t="s">
        <v>636</v>
      </c>
      <c r="C316" t="s">
        <v>637</v>
      </c>
      <c r="D316">
        <f>OI_param_il_Apr</f>
        <v>0</v>
      </c>
    </row>
    <row r="317" spans="1:5">
      <c r="A317" s="1" t="s">
        <v>261</v>
      </c>
      <c r="B317" t="s">
        <v>638</v>
      </c>
      <c r="C317" t="s">
        <v>639</v>
      </c>
      <c r="D317">
        <f>OI_param_il_May</f>
        <v>0</v>
      </c>
    </row>
    <row r="318" spans="1:5">
      <c r="A318" s="1" t="s">
        <v>261</v>
      </c>
      <c r="B318" t="s">
        <v>640</v>
      </c>
      <c r="C318" t="s">
        <v>641</v>
      </c>
      <c r="D318">
        <f>OI_param_il_Jun</f>
        <v>0</v>
      </c>
    </row>
    <row r="319" spans="1:5">
      <c r="A319" s="1" t="s">
        <v>261</v>
      </c>
      <c r="B319" t="s">
        <v>642</v>
      </c>
      <c r="C319" t="s">
        <v>643</v>
      </c>
      <c r="D319">
        <f>OI_param_il_Jul</f>
        <v>0</v>
      </c>
    </row>
    <row r="320" spans="1:5">
      <c r="A320" s="1" t="s">
        <v>261</v>
      </c>
      <c r="B320" t="s">
        <v>644</v>
      </c>
      <c r="C320" t="s">
        <v>645</v>
      </c>
      <c r="D320">
        <f>OI_param_il_Aug</f>
        <v>0</v>
      </c>
    </row>
    <row r="321" spans="1:5">
      <c r="A321" s="1" t="s">
        <v>261</v>
      </c>
      <c r="B321" t="s">
        <v>646</v>
      </c>
      <c r="C321" t="s">
        <v>647</v>
      </c>
      <c r="D321">
        <f>OI_param_il_Sep</f>
        <v>0</v>
      </c>
    </row>
    <row r="322" spans="1:5">
      <c r="A322" s="1" t="s">
        <v>261</v>
      </c>
      <c r="B322" t="s">
        <v>648</v>
      </c>
      <c r="C322" t="s">
        <v>649</v>
      </c>
      <c r="D322">
        <f>OI_param_il_Oct</f>
        <v>0</v>
      </c>
    </row>
    <row r="323" spans="1:5">
      <c r="A323" s="1" t="s">
        <v>261</v>
      </c>
      <c r="B323" t="s">
        <v>650</v>
      </c>
      <c r="C323" t="s">
        <v>651</v>
      </c>
      <c r="D323">
        <f>OI_param_il_Nov</f>
        <v>0</v>
      </c>
    </row>
    <row r="324" spans="1:5">
      <c r="A324" s="1" t="s">
        <v>261</v>
      </c>
      <c r="B324" t="s">
        <v>652</v>
      </c>
      <c r="C324" t="s">
        <v>653</v>
      </c>
      <c r="D324">
        <f>OI_param_il_Dec</f>
        <v>0</v>
      </c>
    </row>
    <row r="325" spans="1:5">
      <c r="A325" s="1" t="s">
        <v>261</v>
      </c>
      <c r="B325" t="s">
        <v>654</v>
      </c>
      <c r="C325" t="s">
        <v>655</v>
      </c>
      <c r="D325">
        <f>OI_param_dl</f>
        <v>0</v>
      </c>
    </row>
    <row r="326" spans="1:5">
      <c r="A326" s="1" t="s">
        <v>261</v>
      </c>
      <c r="B326" t="s">
        <v>656</v>
      </c>
      <c r="C326" t="s">
        <v>657</v>
      </c>
      <c r="D326" t="str">
        <f>OI_param_dl_var</f>
        <v>&lt;Choose&gt;</v>
      </c>
      <c r="E326" t="b">
        <f>(D326="&lt;Choose&gt;")</f>
        <v>1</v>
      </c>
    </row>
    <row r="327" spans="1:5">
      <c r="A327" s="1" t="s">
        <v>261</v>
      </c>
      <c r="B327" t="s">
        <v>658</v>
      </c>
      <c r="C327" t="s">
        <v>659</v>
      </c>
      <c r="D327">
        <f>OI_param_dl_Jan</f>
        <v>0</v>
      </c>
    </row>
    <row r="328" spans="1:5">
      <c r="A328" s="1" t="s">
        <v>261</v>
      </c>
      <c r="B328" t="s">
        <v>660</v>
      </c>
      <c r="C328" t="s">
        <v>661</v>
      </c>
      <c r="D328">
        <f>OI_param_dl_Feb</f>
        <v>0</v>
      </c>
    </row>
    <row r="329" spans="1:5">
      <c r="A329" s="1" t="s">
        <v>261</v>
      </c>
      <c r="B329" t="s">
        <v>662</v>
      </c>
      <c r="C329" t="s">
        <v>663</v>
      </c>
      <c r="D329">
        <f>OI_param_dl_Mar</f>
        <v>0</v>
      </c>
    </row>
    <row r="330" spans="1:5">
      <c r="A330" s="1" t="s">
        <v>261</v>
      </c>
      <c r="B330" t="s">
        <v>664</v>
      </c>
      <c r="C330" t="s">
        <v>665</v>
      </c>
      <c r="D330">
        <f>OI_param_dl_Apr</f>
        <v>0</v>
      </c>
    </row>
    <row r="331" spans="1:5">
      <c r="A331" s="1" t="s">
        <v>261</v>
      </c>
      <c r="B331" t="s">
        <v>666</v>
      </c>
      <c r="C331" t="s">
        <v>667</v>
      </c>
      <c r="D331">
        <f>OI_param_dl_May</f>
        <v>0</v>
      </c>
    </row>
    <row r="332" spans="1:5">
      <c r="A332" s="1" t="s">
        <v>261</v>
      </c>
      <c r="B332" t="s">
        <v>668</v>
      </c>
      <c r="C332" t="s">
        <v>669</v>
      </c>
      <c r="D332">
        <f>OI_param_dl_Jun</f>
        <v>0</v>
      </c>
    </row>
    <row r="333" spans="1:5">
      <c r="A333" s="1" t="s">
        <v>261</v>
      </c>
      <c r="B333" t="s">
        <v>670</v>
      </c>
      <c r="C333" t="s">
        <v>671</v>
      </c>
      <c r="D333">
        <f>OI_param_dl_Jul</f>
        <v>0</v>
      </c>
    </row>
    <row r="334" spans="1:5">
      <c r="A334" s="1" t="s">
        <v>261</v>
      </c>
      <c r="B334" t="s">
        <v>672</v>
      </c>
      <c r="C334" t="s">
        <v>673</v>
      </c>
      <c r="D334">
        <f>OI_param_dl_Aug</f>
        <v>0</v>
      </c>
    </row>
    <row r="335" spans="1:5">
      <c r="A335" s="1" t="s">
        <v>261</v>
      </c>
      <c r="B335" t="s">
        <v>674</v>
      </c>
      <c r="C335" t="s">
        <v>675</v>
      </c>
      <c r="D335">
        <f>OI_param_dl_Sep</f>
        <v>0</v>
      </c>
    </row>
    <row r="336" spans="1:5">
      <c r="A336" s="1" t="s">
        <v>261</v>
      </c>
      <c r="B336" t="s">
        <v>676</v>
      </c>
      <c r="C336" t="s">
        <v>677</v>
      </c>
      <c r="D336">
        <f>OI_param_dl_Oct</f>
        <v>0</v>
      </c>
    </row>
    <row r="337" spans="1:5">
      <c r="A337" s="1" t="s">
        <v>261</v>
      </c>
      <c r="B337" t="s">
        <v>678</v>
      </c>
      <c r="C337" t="s">
        <v>679</v>
      </c>
      <c r="D337">
        <f>OI_param_dl_Nov</f>
        <v>0</v>
      </c>
    </row>
    <row r="338" spans="1:5">
      <c r="A338" s="1" t="s">
        <v>261</v>
      </c>
      <c r="B338" t="s">
        <v>680</v>
      </c>
      <c r="C338" t="s">
        <v>681</v>
      </c>
      <c r="D338">
        <f>OI_param_dl_Dec</f>
        <v>0</v>
      </c>
    </row>
    <row r="339" spans="1:5">
      <c r="A339" s="1" t="s">
        <v>261</v>
      </c>
      <c r="B339" t="s">
        <v>682</v>
      </c>
      <c r="C339" t="s">
        <v>683</v>
      </c>
      <c r="D339">
        <f>OI_param_srte</f>
        <v>0</v>
      </c>
      <c r="E339" t="b">
        <f t="shared" ref="E339:E382" si="8">(D339=0)</f>
        <v>1</v>
      </c>
    </row>
    <row r="340" spans="1:5">
      <c r="A340" s="1" t="s">
        <v>261</v>
      </c>
      <c r="B340" t="s">
        <v>684</v>
      </c>
      <c r="C340" t="s">
        <v>685</v>
      </c>
      <c r="D340">
        <f>OI_param_ssd</f>
        <v>0</v>
      </c>
    </row>
    <row r="341" spans="1:5">
      <c r="A341" s="1" t="s">
        <v>261</v>
      </c>
      <c r="B341" t="s">
        <v>686</v>
      </c>
      <c r="C341" t="s">
        <v>687</v>
      </c>
      <c r="D341" t="str">
        <f>OI_param_ssd_var</f>
        <v>&lt;Choose&gt;</v>
      </c>
      <c r="E341" t="b">
        <f>(D341="&lt;Choose&gt;")</f>
        <v>1</v>
      </c>
    </row>
    <row r="342" spans="1:5">
      <c r="A342" s="1" t="s">
        <v>261</v>
      </c>
      <c r="B342" t="s">
        <v>688</v>
      </c>
      <c r="C342" t="s">
        <v>689</v>
      </c>
      <c r="D342">
        <f>OI_param_ssd_Jan</f>
        <v>0</v>
      </c>
    </row>
    <row r="343" spans="1:5">
      <c r="A343" s="1" t="s">
        <v>261</v>
      </c>
      <c r="B343" t="s">
        <v>690</v>
      </c>
      <c r="C343" t="s">
        <v>691</v>
      </c>
      <c r="D343">
        <f>OI_param_ssd_Feb</f>
        <v>0</v>
      </c>
    </row>
    <row r="344" spans="1:5">
      <c r="A344" s="1" t="s">
        <v>261</v>
      </c>
      <c r="B344" t="s">
        <v>692</v>
      </c>
      <c r="C344" t="s">
        <v>693</v>
      </c>
      <c r="D344">
        <f>OI_param_ssd_Mar</f>
        <v>0</v>
      </c>
    </row>
    <row r="345" spans="1:5">
      <c r="A345" s="1" t="s">
        <v>261</v>
      </c>
      <c r="B345" t="s">
        <v>694</v>
      </c>
      <c r="C345" t="s">
        <v>695</v>
      </c>
      <c r="D345">
        <f>OI_param_ssd_Apr</f>
        <v>0</v>
      </c>
    </row>
    <row r="346" spans="1:5">
      <c r="A346" s="1" t="s">
        <v>261</v>
      </c>
      <c r="B346" t="s">
        <v>696</v>
      </c>
      <c r="C346" t="s">
        <v>697</v>
      </c>
      <c r="D346">
        <f>OI_param_ssd_May</f>
        <v>0</v>
      </c>
    </row>
    <row r="347" spans="1:5">
      <c r="A347" s="1" t="s">
        <v>261</v>
      </c>
      <c r="B347" t="s">
        <v>698</v>
      </c>
      <c r="C347" t="s">
        <v>699</v>
      </c>
      <c r="D347">
        <f>OI_param_ssd_Jun</f>
        <v>0</v>
      </c>
    </row>
    <row r="348" spans="1:5">
      <c r="A348" s="1" t="s">
        <v>261</v>
      </c>
      <c r="B348" t="s">
        <v>700</v>
      </c>
      <c r="C348" t="s">
        <v>701</v>
      </c>
      <c r="D348">
        <f>OI_param_ssd_Jul</f>
        <v>0</v>
      </c>
    </row>
    <row r="349" spans="1:5">
      <c r="A349" s="1" t="s">
        <v>261</v>
      </c>
      <c r="B349" t="s">
        <v>702</v>
      </c>
      <c r="C349" t="s">
        <v>703</v>
      </c>
      <c r="D349">
        <f>OI_param_ssd_Aug</f>
        <v>0</v>
      </c>
    </row>
    <row r="350" spans="1:5">
      <c r="A350" s="1" t="s">
        <v>261</v>
      </c>
      <c r="B350" t="s">
        <v>704</v>
      </c>
      <c r="C350" t="s">
        <v>705</v>
      </c>
      <c r="D350">
        <f>OI_param_ssd_Sep</f>
        <v>0</v>
      </c>
    </row>
    <row r="351" spans="1:5">
      <c r="A351" s="1" t="s">
        <v>261</v>
      </c>
      <c r="B351" t="s">
        <v>706</v>
      </c>
      <c r="C351" t="s">
        <v>707</v>
      </c>
      <c r="D351">
        <f>OI_param_ssd_Oct</f>
        <v>0</v>
      </c>
    </row>
    <row r="352" spans="1:5">
      <c r="A352" s="1" t="s">
        <v>261</v>
      </c>
      <c r="B352" t="s">
        <v>708</v>
      </c>
      <c r="C352" t="s">
        <v>709</v>
      </c>
      <c r="D352">
        <f>OI_param_ssd_Nov</f>
        <v>0</v>
      </c>
    </row>
    <row r="353" spans="1:5">
      <c r="A353" s="1" t="s">
        <v>261</v>
      </c>
      <c r="B353" t="s">
        <v>710</v>
      </c>
      <c r="C353" t="s">
        <v>711</v>
      </c>
      <c r="D353">
        <f>OI_param_ssd_Dec</f>
        <v>0</v>
      </c>
    </row>
    <row r="354" spans="1:5">
      <c r="A354" s="1" t="s">
        <v>261</v>
      </c>
      <c r="B354" t="s">
        <v>712</v>
      </c>
      <c r="C354" t="s">
        <v>713</v>
      </c>
      <c r="D354" t="e">
        <f>OI_param_aacd</f>
        <v>#REF!</v>
      </c>
      <c r="E354" t="e">
        <f t="shared" si="8"/>
        <v>#REF!</v>
      </c>
    </row>
    <row r="355" spans="1:5">
      <c r="A355" s="1" t="s">
        <v>261</v>
      </c>
      <c r="B355" t="s">
        <v>714</v>
      </c>
      <c r="C355" t="s">
        <v>715</v>
      </c>
      <c r="D355">
        <f>OI_dtl_nst</f>
        <v>0</v>
      </c>
      <c r="E355" t="b">
        <f t="shared" si="8"/>
        <v>1</v>
      </c>
    </row>
    <row r="356" spans="1:5">
      <c r="A356" s="1" t="s">
        <v>261</v>
      </c>
      <c r="B356" t="s">
        <v>716</v>
      </c>
      <c r="C356" t="s">
        <v>717</v>
      </c>
      <c r="D356">
        <f>OI_dtl_tuds</f>
        <v>0</v>
      </c>
      <c r="E356" t="b">
        <f t="shared" si="8"/>
        <v>1</v>
      </c>
    </row>
    <row r="357" spans="1:5">
      <c r="A357" s="1" t="s">
        <v>261</v>
      </c>
      <c r="B357" t="s">
        <v>718</v>
      </c>
      <c r="C357" t="s">
        <v>719</v>
      </c>
      <c r="D357">
        <f>OI_dtl_rtcpmin</f>
        <v>0</v>
      </c>
      <c r="E357" t="b">
        <f t="shared" si="8"/>
        <v>1</v>
      </c>
    </row>
    <row r="358" spans="1:5">
      <c r="A358" s="1" t="s">
        <v>261</v>
      </c>
      <c r="B358" t="s">
        <v>720</v>
      </c>
      <c r="C358" t="s">
        <v>721</v>
      </c>
      <c r="D358">
        <f>OI_dtl_rtdpmin</f>
        <v>0</v>
      </c>
      <c r="E358" t="b">
        <f t="shared" si="8"/>
        <v>1</v>
      </c>
    </row>
    <row r="359" spans="1:5">
      <c r="A359" s="1" t="s">
        <v>261</v>
      </c>
      <c r="B359" t="s">
        <v>722</v>
      </c>
      <c r="C359" t="s">
        <v>723</v>
      </c>
      <c r="D359">
        <f>OI_dtl_dtrdpmin</f>
        <v>0</v>
      </c>
      <c r="E359" t="b">
        <f t="shared" si="8"/>
        <v>1</v>
      </c>
    </row>
    <row r="360" spans="1:5">
      <c r="A360" s="1" t="s">
        <v>261</v>
      </c>
      <c r="B360" t="s">
        <v>724</v>
      </c>
      <c r="C360" t="s">
        <v>725</v>
      </c>
      <c r="D360">
        <f>OI_dtl_dtrcpmin</f>
        <v>0</v>
      </c>
      <c r="E360" t="b">
        <f t="shared" si="8"/>
        <v>1</v>
      </c>
    </row>
    <row r="361" spans="1:5">
      <c r="A361" s="1" t="s">
        <v>261</v>
      </c>
      <c r="B361" t="s">
        <v>726</v>
      </c>
      <c r="C361" t="s">
        <v>727</v>
      </c>
      <c r="D361">
        <f>OI_rr_dtdrate</f>
        <v>0</v>
      </c>
      <c r="E361" t="b">
        <f t="shared" si="8"/>
        <v>1</v>
      </c>
    </row>
    <row r="362" spans="1:5">
      <c r="A362" s="1" t="s">
        <v>261</v>
      </c>
      <c r="B362" t="s">
        <v>728</v>
      </c>
      <c r="C362" t="s">
        <v>729</v>
      </c>
      <c r="D362">
        <f>OI_rr_dtd</f>
        <v>0</v>
      </c>
      <c r="E362" t="b">
        <f t="shared" si="8"/>
        <v>1</v>
      </c>
    </row>
    <row r="363" spans="1:5">
      <c r="A363" s="1" t="s">
        <v>261</v>
      </c>
      <c r="B363" t="s">
        <v>730</v>
      </c>
      <c r="C363" t="s">
        <v>731</v>
      </c>
      <c r="D363">
        <f>OI_rr_ctc</f>
        <v>0</v>
      </c>
      <c r="E363" t="b">
        <f t="shared" si="8"/>
        <v>1</v>
      </c>
    </row>
    <row r="364" spans="1:5">
      <c r="A364" s="1" t="s">
        <v>261</v>
      </c>
      <c r="B364" t="s">
        <v>732</v>
      </c>
      <c r="C364" t="s">
        <v>733</v>
      </c>
      <c r="D364">
        <f>OI_rr_ctcrate</f>
        <v>0</v>
      </c>
      <c r="E364" t="b">
        <f t="shared" si="8"/>
        <v>1</v>
      </c>
    </row>
    <row r="365" spans="1:5">
      <c r="A365" s="1" t="s">
        <v>261</v>
      </c>
      <c r="B365" t="s">
        <v>734</v>
      </c>
      <c r="C365" t="s">
        <v>735</v>
      </c>
      <c r="D365">
        <f>OI_rr_rrrhighmin</f>
        <v>0</v>
      </c>
      <c r="E365" t="b">
        <f t="shared" si="8"/>
        <v>1</v>
      </c>
    </row>
    <row r="366" spans="1:5">
      <c r="A366" s="1" t="s">
        <v>261</v>
      </c>
      <c r="B366" t="s">
        <v>736</v>
      </c>
      <c r="C366" t="s">
        <v>737</v>
      </c>
      <c r="D366">
        <f>OI_rr_rrrhighmax</f>
        <v>0</v>
      </c>
      <c r="E366" t="b">
        <f t="shared" si="8"/>
        <v>1</v>
      </c>
    </row>
    <row r="367" spans="1:5">
      <c r="A367" s="1" t="s">
        <v>261</v>
      </c>
      <c r="B367" t="s">
        <v>738</v>
      </c>
      <c r="C367" t="s">
        <v>739</v>
      </c>
      <c r="D367">
        <f>OI_rr_rrrhighavg</f>
        <v>0</v>
      </c>
      <c r="E367" t="b">
        <f t="shared" si="8"/>
        <v>1</v>
      </c>
    </row>
    <row r="368" spans="1:5">
      <c r="A368" s="1" t="s">
        <v>261</v>
      </c>
      <c r="B368" t="s">
        <v>740</v>
      </c>
      <c r="C368" t="s">
        <v>741</v>
      </c>
      <c r="D368">
        <f>OI_rr_rrrhighlimit</f>
        <v>0</v>
      </c>
      <c r="E368" t="b">
        <f t="shared" si="8"/>
        <v>1</v>
      </c>
    </row>
    <row r="369" spans="1:5">
      <c r="A369" s="1" t="s">
        <v>261</v>
      </c>
      <c r="B369" t="s">
        <v>742</v>
      </c>
      <c r="C369" t="s">
        <v>743</v>
      </c>
      <c r="D369">
        <f>OI_rr_rrrlowmin</f>
        <v>0</v>
      </c>
      <c r="E369" t="b">
        <f t="shared" si="8"/>
        <v>1</v>
      </c>
    </row>
    <row r="370" spans="1:5">
      <c r="A370" s="1" t="s">
        <v>261</v>
      </c>
      <c r="B370" t="s">
        <v>744</v>
      </c>
      <c r="C370" t="s">
        <v>745</v>
      </c>
      <c r="D370">
        <f>OI_rr_rrrlowmax</f>
        <v>0</v>
      </c>
      <c r="E370" t="b">
        <f t="shared" si="8"/>
        <v>1</v>
      </c>
    </row>
    <row r="371" spans="1:5">
      <c r="A371" s="1" t="s">
        <v>261</v>
      </c>
      <c r="B371" t="s">
        <v>746</v>
      </c>
      <c r="C371" t="s">
        <v>747</v>
      </c>
      <c r="D371">
        <f>OI_rr_rrrlowavg</f>
        <v>0</v>
      </c>
      <c r="E371" t="b">
        <f t="shared" si="8"/>
        <v>1</v>
      </c>
    </row>
    <row r="372" spans="1:5">
      <c r="A372" s="1" t="s">
        <v>261</v>
      </c>
      <c r="B372" t="s">
        <v>748</v>
      </c>
      <c r="C372" t="s">
        <v>749</v>
      </c>
      <c r="D372">
        <f>OI_rr_rrrlowlimit</f>
        <v>0</v>
      </c>
      <c r="E372" t="b">
        <f t="shared" si="8"/>
        <v>1</v>
      </c>
    </row>
    <row r="373" spans="1:5">
      <c r="A373" s="1" t="s">
        <v>261</v>
      </c>
      <c r="B373" t="s">
        <v>750</v>
      </c>
      <c r="C373" t="s">
        <v>751</v>
      </c>
      <c r="D373">
        <f>OI_cl_maxdc</f>
        <v>0</v>
      </c>
      <c r="E373" t="b">
        <f t="shared" si="8"/>
        <v>1</v>
      </c>
    </row>
    <row r="374" spans="1:5">
      <c r="A374" s="1" t="s">
        <v>261</v>
      </c>
      <c r="B374" t="s">
        <v>752</v>
      </c>
      <c r="C374" t="s">
        <v>753</v>
      </c>
      <c r="D374">
        <f>OI_cl_maxmc</f>
        <v>0</v>
      </c>
      <c r="E374" t="b">
        <f t="shared" si="8"/>
        <v>1</v>
      </c>
    </row>
    <row r="375" spans="1:5">
      <c r="A375" s="1" t="s">
        <v>261</v>
      </c>
      <c r="B375" t="s">
        <v>754</v>
      </c>
      <c r="C375" t="s">
        <v>755</v>
      </c>
      <c r="D375">
        <f>OI_cl_maxac</f>
        <v>0</v>
      </c>
      <c r="E375" t="b">
        <f t="shared" si="8"/>
        <v>1</v>
      </c>
    </row>
    <row r="376" spans="1:5">
      <c r="A376" s="1" t="s">
        <v>261</v>
      </c>
      <c r="B376" t="s">
        <v>756</v>
      </c>
      <c r="C376" t="s">
        <v>757</v>
      </c>
      <c r="D376">
        <f>OI_cl_maxlc</f>
        <v>0</v>
      </c>
      <c r="E376" t="b">
        <f t="shared" si="8"/>
        <v>1</v>
      </c>
    </row>
    <row r="377" spans="1:5">
      <c r="A377" s="1" t="s">
        <v>261</v>
      </c>
      <c r="B377" t="s">
        <v>758</v>
      </c>
      <c r="C377" t="s">
        <v>759</v>
      </c>
      <c r="D377">
        <f>OI_as_rrspin</f>
        <v>0</v>
      </c>
      <c r="E377" t="b">
        <f t="shared" si="8"/>
        <v>1</v>
      </c>
    </row>
    <row r="378" spans="1:5">
      <c r="A378" s="1" t="s">
        <v>261</v>
      </c>
      <c r="B378" t="s">
        <v>760</v>
      </c>
      <c r="C378" t="s">
        <v>761</v>
      </c>
      <c r="D378">
        <f>OI_as_minorspin</f>
        <v>0</v>
      </c>
      <c r="E378" t="b">
        <f t="shared" si="8"/>
        <v>1</v>
      </c>
    </row>
    <row r="379" spans="1:5">
      <c r="A379" s="1" t="s">
        <v>261</v>
      </c>
      <c r="B379" t="s">
        <v>762</v>
      </c>
      <c r="C379" t="s">
        <v>763</v>
      </c>
      <c r="D379">
        <f>OI_as_maxorspin</f>
        <v>0</v>
      </c>
      <c r="E379" t="b">
        <f t="shared" si="8"/>
        <v>1</v>
      </c>
    </row>
    <row r="380" spans="1:5">
      <c r="A380" s="1" t="s">
        <v>261</v>
      </c>
      <c r="B380" t="s">
        <v>764</v>
      </c>
      <c r="C380" t="s">
        <v>765</v>
      </c>
      <c r="D380">
        <f>OI_as_belspin</f>
        <v>0</v>
      </c>
      <c r="E380" t="b">
        <f t="shared" si="8"/>
        <v>1</v>
      </c>
    </row>
    <row r="381" spans="1:5">
      <c r="A381" s="1" t="s">
        <v>261</v>
      </c>
      <c r="B381" t="s">
        <v>766</v>
      </c>
      <c r="C381" t="s">
        <v>767</v>
      </c>
      <c r="D381">
        <f>OI_as_ascspin</f>
        <v>0</v>
      </c>
      <c r="E381" t="b">
        <f t="shared" si="8"/>
        <v>1</v>
      </c>
    </row>
    <row r="382" spans="1:5">
      <c r="A382" s="1" t="s">
        <v>261</v>
      </c>
      <c r="B382" t="s">
        <v>768</v>
      </c>
      <c r="C382" t="s">
        <v>769</v>
      </c>
      <c r="D382">
        <f>OI_as_errspin</f>
        <v>0</v>
      </c>
      <c r="E382" t="b">
        <f t="shared" si="8"/>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R73"/>
  <sheetViews>
    <sheetView showGridLines="0" zoomScaleNormal="100" workbookViewId="0"/>
  </sheetViews>
  <sheetFormatPr defaultColWidth="8.85546875" defaultRowHeight="15"/>
  <cols>
    <col min="1" max="1" width="7.85546875" customWidth="1"/>
    <col min="2" max="2" width="62.5703125" customWidth="1"/>
    <col min="3" max="3" width="13.5703125" customWidth="1"/>
    <col min="4" max="4" width="10.42578125" customWidth="1"/>
    <col min="5" max="5" width="12.85546875" customWidth="1"/>
    <col min="7" max="7" width="11.140625" customWidth="1"/>
    <col min="10" max="10" width="10.5703125" customWidth="1"/>
    <col min="18" max="18" width="4.140625" customWidth="1"/>
  </cols>
  <sheetData>
    <row r="1" spans="2:18" ht="15.75" thickBot="1"/>
    <row r="2" spans="2:18" ht="18.75">
      <c r="B2" s="44" t="s">
        <v>984</v>
      </c>
      <c r="C2" s="36" t="s">
        <v>960</v>
      </c>
      <c r="D2" s="37"/>
      <c r="E2" s="37"/>
      <c r="F2" s="37"/>
      <c r="G2" s="37"/>
      <c r="H2" s="37"/>
      <c r="I2" s="37"/>
      <c r="J2" s="37"/>
      <c r="K2" s="37"/>
      <c r="L2" s="37"/>
      <c r="M2" s="37"/>
      <c r="N2" s="37"/>
      <c r="O2" s="37"/>
      <c r="P2" s="37"/>
      <c r="Q2" s="37"/>
      <c r="R2" s="38"/>
    </row>
    <row r="3" spans="2:18" ht="18.75">
      <c r="B3" s="46" t="str">
        <f>+Instructions!B3</f>
        <v>Version 1.0 - April 7, 2025</v>
      </c>
      <c r="C3" s="25" t="s">
        <v>962</v>
      </c>
      <c r="R3" s="31"/>
    </row>
    <row r="4" spans="2:18" ht="15.75" thickBot="1">
      <c r="B4" s="40"/>
      <c r="C4" s="33"/>
      <c r="D4" s="33"/>
      <c r="E4" s="33"/>
      <c r="F4" s="33"/>
      <c r="G4" s="33"/>
      <c r="H4" s="33"/>
      <c r="I4" s="33"/>
      <c r="J4" s="33"/>
      <c r="K4" s="33"/>
      <c r="L4" s="33"/>
      <c r="M4" s="33"/>
      <c r="N4" s="33"/>
      <c r="O4" s="33"/>
      <c r="P4" s="33"/>
      <c r="Q4" s="33"/>
      <c r="R4" s="34"/>
    </row>
    <row r="5" spans="2:18" ht="15.75" thickBot="1"/>
    <row r="6" spans="2:18">
      <c r="B6" s="27" t="s">
        <v>1183</v>
      </c>
      <c r="C6" s="28"/>
      <c r="D6" s="28"/>
      <c r="E6" s="28"/>
      <c r="F6" s="28"/>
      <c r="G6" s="28"/>
      <c r="H6" s="28"/>
      <c r="I6" s="28"/>
      <c r="J6" s="28"/>
      <c r="K6" s="28"/>
      <c r="L6" s="28"/>
      <c r="M6" s="28"/>
      <c r="N6" s="28"/>
      <c r="O6" s="28"/>
      <c r="P6" s="28"/>
      <c r="Q6" s="28"/>
      <c r="R6" s="29"/>
    </row>
    <row r="7" spans="2:18" ht="15" customHeight="1">
      <c r="B7" s="282" t="s">
        <v>1184</v>
      </c>
      <c r="C7" s="283"/>
      <c r="D7" s="283"/>
      <c r="E7" s="283"/>
      <c r="F7" s="283"/>
      <c r="G7" s="283"/>
      <c r="H7" s="283"/>
      <c r="I7" s="283"/>
      <c r="J7" s="283"/>
      <c r="K7" s="283"/>
      <c r="L7" s="283"/>
      <c r="M7" s="283"/>
      <c r="N7" s="283"/>
      <c r="O7" s="283"/>
      <c r="P7" s="283"/>
      <c r="Q7" s="283"/>
      <c r="R7" s="31"/>
    </row>
    <row r="8" spans="2:18">
      <c r="B8" s="282"/>
      <c r="C8" s="283"/>
      <c r="D8" s="283"/>
      <c r="E8" s="283"/>
      <c r="F8" s="283"/>
      <c r="G8" s="283"/>
      <c r="H8" s="283"/>
      <c r="I8" s="283"/>
      <c r="J8" s="283"/>
      <c r="K8" s="283"/>
      <c r="L8" s="283"/>
      <c r="M8" s="283"/>
      <c r="N8" s="283"/>
      <c r="O8" s="283"/>
      <c r="P8" s="283"/>
      <c r="Q8" s="283"/>
      <c r="R8" s="31"/>
    </row>
    <row r="9" spans="2:18" ht="5.25" customHeight="1">
      <c r="B9" s="282"/>
      <c r="C9" s="283"/>
      <c r="D9" s="283"/>
      <c r="E9" s="283"/>
      <c r="F9" s="283"/>
      <c r="G9" s="283"/>
      <c r="H9" s="283"/>
      <c r="I9" s="283"/>
      <c r="J9" s="283"/>
      <c r="K9" s="283"/>
      <c r="L9" s="283"/>
      <c r="M9" s="283"/>
      <c r="N9" s="283"/>
      <c r="O9" s="283"/>
      <c r="P9" s="283"/>
      <c r="Q9" s="283"/>
      <c r="R9" s="31"/>
    </row>
    <row r="10" spans="2:18">
      <c r="B10" s="30" t="s">
        <v>1185</v>
      </c>
      <c r="R10" s="31"/>
    </row>
    <row r="11" spans="2:18" ht="15.75" thickBot="1">
      <c r="B11" s="43"/>
      <c r="C11" s="33"/>
      <c r="D11" s="33"/>
      <c r="E11" s="33"/>
      <c r="F11" s="33"/>
      <c r="G11" s="33"/>
      <c r="H11" s="33"/>
      <c r="I11" s="33"/>
      <c r="J11" s="33"/>
      <c r="K11" s="33"/>
      <c r="L11" s="33"/>
      <c r="M11" s="33"/>
      <c r="N11" s="33"/>
      <c r="O11" s="33"/>
      <c r="P11" s="33"/>
      <c r="Q11" s="33"/>
      <c r="R11" s="34"/>
    </row>
    <row r="12" spans="2:18">
      <c r="B12" s="69"/>
      <c r="C12" s="62"/>
      <c r="D12" s="62"/>
      <c r="E12" s="281" t="s">
        <v>1186</v>
      </c>
      <c r="F12" s="62"/>
      <c r="G12" s="62"/>
      <c r="H12" s="62"/>
      <c r="I12" s="62"/>
      <c r="J12" s="62"/>
      <c r="K12" s="62"/>
      <c r="L12" s="62"/>
      <c r="M12" s="62"/>
      <c r="N12" s="62"/>
      <c r="O12" s="62"/>
      <c r="P12" s="62"/>
      <c r="Q12" s="62"/>
      <c r="R12" s="70"/>
    </row>
    <row r="13" spans="2:18" ht="16.350000000000001" customHeight="1">
      <c r="B13" s="69" t="s">
        <v>1187</v>
      </c>
      <c r="C13" s="62" t="s">
        <v>1188</v>
      </c>
      <c r="D13" s="62" t="s">
        <v>1189</v>
      </c>
      <c r="E13" s="281"/>
      <c r="F13" s="71" t="s">
        <v>1190</v>
      </c>
      <c r="G13" s="71" t="s">
        <v>1191</v>
      </c>
      <c r="H13" s="71" t="s">
        <v>1192</v>
      </c>
      <c r="I13" s="71" t="s">
        <v>1193</v>
      </c>
      <c r="J13" s="71" t="s">
        <v>1194</v>
      </c>
      <c r="K13" s="71" t="s">
        <v>1195</v>
      </c>
      <c r="L13" s="71" t="s">
        <v>1196</v>
      </c>
      <c r="M13" s="71" t="s">
        <v>1197</v>
      </c>
      <c r="N13" s="71" t="s">
        <v>1198</v>
      </c>
      <c r="O13" s="71" t="s">
        <v>1199</v>
      </c>
      <c r="P13" s="71" t="s">
        <v>1200</v>
      </c>
      <c r="Q13" s="71" t="s">
        <v>1201</v>
      </c>
      <c r="R13" s="70"/>
    </row>
    <row r="14" spans="2:18" ht="16.350000000000001" customHeight="1">
      <c r="B14" s="41"/>
      <c r="C14" s="1"/>
      <c r="D14" s="1"/>
      <c r="E14" s="67"/>
      <c r="F14" s="1"/>
      <c r="G14" s="1"/>
      <c r="H14" s="1"/>
      <c r="I14" s="1"/>
      <c r="J14" s="1"/>
      <c r="K14" s="1"/>
      <c r="L14" s="1"/>
      <c r="M14" s="1"/>
      <c r="N14" s="1"/>
      <c r="O14" s="1"/>
      <c r="P14" s="1"/>
      <c r="Q14" s="1"/>
      <c r="R14" s="31"/>
    </row>
    <row r="15" spans="2:18" ht="16.350000000000001" customHeight="1">
      <c r="B15" s="61" t="s">
        <v>1202</v>
      </c>
      <c r="C15">
        <f>'Project Information'!C42</f>
        <v>0</v>
      </c>
      <c r="D15" t="s">
        <v>1203</v>
      </c>
      <c r="E15" s="58" t="s">
        <v>771</v>
      </c>
      <c r="F15" s="11"/>
      <c r="G15" s="11"/>
      <c r="H15" s="11"/>
      <c r="I15" s="11"/>
      <c r="J15" s="11"/>
      <c r="K15" s="11"/>
      <c r="L15" s="11"/>
      <c r="M15" s="11"/>
      <c r="N15" s="11"/>
      <c r="O15" s="11"/>
      <c r="P15" s="11"/>
      <c r="Q15" s="11"/>
      <c r="R15" s="31"/>
    </row>
    <row r="16" spans="2:18" ht="16.350000000000001" customHeight="1">
      <c r="B16" s="61" t="s">
        <v>1204</v>
      </c>
      <c r="C16">
        <f>'Project Information'!D42</f>
        <v>0</v>
      </c>
      <c r="D16" t="s">
        <v>1205</v>
      </c>
      <c r="E16" s="58" t="s">
        <v>771</v>
      </c>
      <c r="F16" s="11"/>
      <c r="G16" s="11"/>
      <c r="H16" s="11"/>
      <c r="I16" s="11"/>
      <c r="J16" s="11"/>
      <c r="K16" s="11"/>
      <c r="L16" s="11"/>
      <c r="M16" s="11"/>
      <c r="N16" s="11"/>
      <c r="O16" s="11"/>
      <c r="P16" s="11"/>
      <c r="Q16" s="11"/>
      <c r="R16" s="31"/>
    </row>
    <row r="17" spans="2:18">
      <c r="B17" s="61" t="s">
        <v>1206</v>
      </c>
      <c r="C17" s="11"/>
      <c r="D17" t="s">
        <v>1203</v>
      </c>
      <c r="E17" s="58" t="s">
        <v>771</v>
      </c>
      <c r="F17" s="11"/>
      <c r="G17" s="11"/>
      <c r="H17" s="11"/>
      <c r="I17" s="11"/>
      <c r="J17" s="11"/>
      <c r="K17" s="11"/>
      <c r="L17" s="11"/>
      <c r="M17" s="11"/>
      <c r="N17" s="11"/>
      <c r="O17" s="11"/>
      <c r="P17" s="11"/>
      <c r="Q17" s="11"/>
      <c r="R17" s="31"/>
    </row>
    <row r="18" spans="2:18">
      <c r="B18" s="61" t="s">
        <v>1207</v>
      </c>
      <c r="C18" s="11"/>
      <c r="D18" t="s">
        <v>1205</v>
      </c>
      <c r="E18" s="58" t="s">
        <v>771</v>
      </c>
      <c r="F18" s="11"/>
      <c r="G18" s="11"/>
      <c r="H18" s="11"/>
      <c r="I18" s="11"/>
      <c r="J18" s="11"/>
      <c r="K18" s="11"/>
      <c r="L18" s="11"/>
      <c r="M18" s="11"/>
      <c r="N18" s="11"/>
      <c r="O18" s="11"/>
      <c r="P18" s="11"/>
      <c r="Q18" s="11"/>
      <c r="R18" s="31"/>
    </row>
    <row r="19" spans="2:18">
      <c r="B19" s="61" t="s">
        <v>1208</v>
      </c>
      <c r="C19" s="11"/>
      <c r="D19" t="s">
        <v>1205</v>
      </c>
      <c r="E19" s="58" t="s">
        <v>771</v>
      </c>
      <c r="F19" s="11"/>
      <c r="G19" s="11"/>
      <c r="H19" s="11"/>
      <c r="I19" s="11"/>
      <c r="J19" s="11"/>
      <c r="K19" s="11"/>
      <c r="L19" s="11"/>
      <c r="M19" s="11"/>
      <c r="N19" s="11"/>
      <c r="O19" s="11"/>
      <c r="P19" s="11"/>
      <c r="Q19" s="11"/>
      <c r="R19" s="31"/>
    </row>
    <row r="20" spans="2:18">
      <c r="B20" s="61"/>
      <c r="R20" s="31"/>
    </row>
    <row r="21" spans="2:18">
      <c r="B21" s="61" t="s">
        <v>1209</v>
      </c>
      <c r="C21" s="11"/>
      <c r="D21" t="s">
        <v>1203</v>
      </c>
      <c r="E21" s="58" t="s">
        <v>771</v>
      </c>
      <c r="F21" s="11"/>
      <c r="G21" s="11"/>
      <c r="H21" s="11"/>
      <c r="I21" s="11"/>
      <c r="J21" s="11"/>
      <c r="K21" s="11"/>
      <c r="L21" s="11"/>
      <c r="M21" s="11"/>
      <c r="N21" s="11"/>
      <c r="O21" s="11"/>
      <c r="P21" s="11"/>
      <c r="Q21" s="11"/>
      <c r="R21" s="31"/>
    </row>
    <row r="22" spans="2:18">
      <c r="B22" s="61" t="s">
        <v>1210</v>
      </c>
      <c r="C22" s="11"/>
      <c r="D22" t="s">
        <v>1203</v>
      </c>
      <c r="E22" s="58" t="s">
        <v>771</v>
      </c>
      <c r="F22" s="11"/>
      <c r="G22" s="11"/>
      <c r="H22" s="11"/>
      <c r="K22" s="11"/>
      <c r="L22" s="11"/>
      <c r="M22" s="11"/>
      <c r="N22" s="11"/>
      <c r="O22" s="11"/>
      <c r="P22" s="11"/>
      <c r="Q22" s="11"/>
      <c r="R22" s="31"/>
    </row>
    <row r="23" spans="2:18">
      <c r="B23" s="61" t="s">
        <v>1211</v>
      </c>
      <c r="C23" s="11"/>
      <c r="D23" t="s">
        <v>1212</v>
      </c>
      <c r="E23" s="58" t="s">
        <v>771</v>
      </c>
      <c r="F23" s="11"/>
      <c r="G23" s="11"/>
      <c r="H23" s="11"/>
      <c r="I23" s="11"/>
      <c r="J23" s="11"/>
      <c r="K23" s="11"/>
      <c r="L23" s="11"/>
      <c r="M23" s="11"/>
      <c r="N23" s="11"/>
      <c r="O23" s="11"/>
      <c r="P23" s="11"/>
      <c r="Q23" s="11"/>
      <c r="R23" s="31"/>
    </row>
    <row r="24" spans="2:18">
      <c r="B24" s="61"/>
      <c r="R24" s="31"/>
    </row>
    <row r="25" spans="2:18">
      <c r="B25" s="61" t="s">
        <v>1213</v>
      </c>
      <c r="C25" s="11"/>
      <c r="D25" t="s">
        <v>1203</v>
      </c>
      <c r="E25" s="58" t="s">
        <v>771</v>
      </c>
      <c r="F25" s="11"/>
      <c r="G25" s="11"/>
      <c r="H25" s="11"/>
      <c r="I25" s="11"/>
      <c r="J25" s="11"/>
      <c r="K25" s="11"/>
      <c r="L25" s="11"/>
      <c r="M25" s="11"/>
      <c r="N25" s="11"/>
      <c r="O25" s="11"/>
      <c r="P25" s="11"/>
      <c r="Q25" s="11"/>
      <c r="R25" s="31"/>
    </row>
    <row r="26" spans="2:18">
      <c r="B26" s="61" t="s">
        <v>1214</v>
      </c>
      <c r="C26" s="11"/>
      <c r="D26" t="s">
        <v>1203</v>
      </c>
      <c r="E26" s="58" t="s">
        <v>771</v>
      </c>
      <c r="F26" s="11"/>
      <c r="G26" s="11"/>
      <c r="H26" s="11"/>
      <c r="I26" s="11"/>
      <c r="J26" s="11"/>
      <c r="K26" s="11"/>
      <c r="L26" s="11"/>
      <c r="M26" s="11"/>
      <c r="N26" s="11"/>
      <c r="O26" s="11"/>
      <c r="P26" s="11"/>
      <c r="Q26" s="11"/>
      <c r="R26" s="31"/>
    </row>
    <row r="27" spans="2:18">
      <c r="B27" s="61" t="s">
        <v>1215</v>
      </c>
      <c r="C27" s="11"/>
      <c r="D27" t="s">
        <v>1212</v>
      </c>
      <c r="E27" s="58" t="s">
        <v>771</v>
      </c>
      <c r="F27" s="11"/>
      <c r="G27" s="11"/>
      <c r="H27" s="11"/>
      <c r="I27" s="11"/>
      <c r="J27" s="11"/>
      <c r="K27" s="11"/>
      <c r="L27" s="11"/>
      <c r="M27" s="11"/>
      <c r="N27" s="11"/>
      <c r="O27" s="11"/>
      <c r="P27" s="11"/>
      <c r="Q27" s="11"/>
      <c r="R27" s="31"/>
    </row>
    <row r="28" spans="2:18">
      <c r="B28" s="61"/>
      <c r="R28" s="31"/>
    </row>
    <row r="29" spans="2:18">
      <c r="B29" s="61" t="s">
        <v>1216</v>
      </c>
      <c r="C29" s="11"/>
      <c r="D29" t="s">
        <v>1217</v>
      </c>
      <c r="E29" s="58" t="s">
        <v>771</v>
      </c>
      <c r="F29" s="11"/>
      <c r="G29" s="11"/>
      <c r="H29" s="11"/>
      <c r="I29" s="11"/>
      <c r="J29" s="11"/>
      <c r="K29" s="11"/>
      <c r="L29" s="11"/>
      <c r="M29" s="11"/>
      <c r="N29" s="11"/>
      <c r="O29" s="11"/>
      <c r="P29" s="11"/>
      <c r="Q29" s="11"/>
      <c r="R29" s="31"/>
    </row>
    <row r="30" spans="2:18">
      <c r="B30" s="61" t="s">
        <v>1218</v>
      </c>
      <c r="C30" s="11"/>
      <c r="D30" t="s">
        <v>1219</v>
      </c>
      <c r="E30" s="58" t="s">
        <v>771</v>
      </c>
      <c r="F30" s="11"/>
      <c r="G30" s="11"/>
      <c r="H30" s="11"/>
      <c r="I30" s="11"/>
      <c r="J30" s="11"/>
      <c r="K30" s="11"/>
      <c r="L30" s="11"/>
      <c r="M30" s="11"/>
      <c r="N30" s="11"/>
      <c r="O30" s="11"/>
      <c r="P30" s="11"/>
      <c r="Q30" s="11"/>
      <c r="R30" s="31"/>
    </row>
    <row r="31" spans="2:18">
      <c r="B31" s="61" t="s">
        <v>1220</v>
      </c>
      <c r="C31" s="11"/>
      <c r="D31" t="s">
        <v>1221</v>
      </c>
      <c r="E31" s="58"/>
      <c r="F31" s="11"/>
      <c r="G31" s="11"/>
      <c r="H31" s="11"/>
      <c r="I31" s="11"/>
      <c r="J31" s="11"/>
      <c r="K31" s="11"/>
      <c r="L31" s="11"/>
      <c r="M31" s="11"/>
      <c r="N31" s="11"/>
      <c r="O31" s="11"/>
      <c r="P31" s="11"/>
      <c r="Q31" s="11"/>
      <c r="R31" s="31"/>
    </row>
    <row r="32" spans="2:18">
      <c r="B32" s="61"/>
      <c r="R32" s="31"/>
    </row>
    <row r="33" spans="2:18">
      <c r="B33" s="61" t="s">
        <v>1222</v>
      </c>
      <c r="C33" s="11"/>
      <c r="D33" t="s">
        <v>1223</v>
      </c>
      <c r="R33" s="31"/>
    </row>
    <row r="34" spans="2:18">
      <c r="B34" s="61" t="s">
        <v>1224</v>
      </c>
      <c r="C34" s="11"/>
      <c r="D34" t="s">
        <v>1225</v>
      </c>
      <c r="E34" s="58" t="s">
        <v>771</v>
      </c>
      <c r="F34" s="11"/>
      <c r="G34" s="11"/>
      <c r="H34" s="11"/>
      <c r="I34" s="11"/>
      <c r="J34" s="11"/>
      <c r="K34" s="11"/>
      <c r="L34" s="11"/>
      <c r="M34" s="11"/>
      <c r="N34" s="11"/>
      <c r="O34" s="11"/>
      <c r="P34" s="11"/>
      <c r="Q34" s="11"/>
      <c r="R34" s="31"/>
    </row>
    <row r="35" spans="2:18" ht="15.75" thickBot="1">
      <c r="B35" s="43"/>
      <c r="C35" s="33"/>
      <c r="D35" s="33"/>
      <c r="E35" s="33"/>
      <c r="F35" s="33"/>
      <c r="G35" s="33"/>
      <c r="H35" s="33"/>
      <c r="I35" s="33"/>
      <c r="J35" s="33"/>
      <c r="K35" s="33"/>
      <c r="L35" s="33"/>
      <c r="M35" s="33"/>
      <c r="N35" s="33"/>
      <c r="O35" s="33"/>
      <c r="P35" s="33"/>
      <c r="Q35" s="33"/>
      <c r="R35" s="34"/>
    </row>
    <row r="36" spans="2:18" ht="15.75" thickBot="1"/>
    <row r="37" spans="2:18">
      <c r="B37" s="27" t="s">
        <v>1226</v>
      </c>
      <c r="C37" s="28"/>
      <c r="D37" s="29"/>
    </row>
    <row r="38" spans="2:18">
      <c r="B38" s="41"/>
      <c r="D38" s="31"/>
    </row>
    <row r="39" spans="2:18" ht="14.85" customHeight="1">
      <c r="B39" s="61" t="s">
        <v>1227</v>
      </c>
      <c r="C39" s="11"/>
      <c r="D39" s="31" t="s">
        <v>1212</v>
      </c>
    </row>
    <row r="40" spans="2:18" ht="14.85" customHeight="1">
      <c r="B40" s="61" t="s">
        <v>1228</v>
      </c>
      <c r="C40" s="11"/>
      <c r="D40" s="31" t="s">
        <v>1212</v>
      </c>
    </row>
    <row r="41" spans="2:18" ht="14.85" customHeight="1">
      <c r="B41" s="61" t="s">
        <v>1229</v>
      </c>
      <c r="C41" s="11"/>
      <c r="D41" s="31" t="s">
        <v>1212</v>
      </c>
    </row>
    <row r="42" spans="2:18" ht="14.85" customHeight="1">
      <c r="B42" s="61" t="s">
        <v>1230</v>
      </c>
      <c r="C42" s="11"/>
      <c r="D42" s="31" t="s">
        <v>1212</v>
      </c>
    </row>
    <row r="43" spans="2:18" ht="14.85" customHeight="1">
      <c r="B43" s="73" t="s">
        <v>1231</v>
      </c>
      <c r="C43" s="11"/>
      <c r="D43" s="31" t="s">
        <v>1212</v>
      </c>
    </row>
    <row r="44" spans="2:18" ht="14.85" customHeight="1">
      <c r="B44" s="73" t="s">
        <v>1232</v>
      </c>
      <c r="C44" s="11"/>
      <c r="D44" s="31" t="s">
        <v>1212</v>
      </c>
    </row>
    <row r="45" spans="2:18" ht="14.85" customHeight="1" thickBot="1">
      <c r="B45" s="72"/>
      <c r="C45" s="33"/>
      <c r="D45" s="34"/>
    </row>
    <row r="46" spans="2:18" ht="15.75" thickBot="1"/>
    <row r="47" spans="2:18">
      <c r="B47" s="27" t="s">
        <v>1233</v>
      </c>
      <c r="C47" s="28"/>
      <c r="D47" s="28"/>
      <c r="E47" s="28"/>
      <c r="F47" s="28"/>
      <c r="G47" s="28"/>
      <c r="H47" s="28"/>
      <c r="I47" s="28"/>
      <c r="J47" s="28"/>
      <c r="K47" s="29"/>
    </row>
    <row r="48" spans="2:18">
      <c r="B48" s="41"/>
      <c r="K48" s="31"/>
    </row>
    <row r="49" spans="2:11">
      <c r="B49" s="30" t="s">
        <v>1234</v>
      </c>
      <c r="C49" s="11"/>
      <c r="D49" t="s">
        <v>1235</v>
      </c>
      <c r="K49" s="31"/>
    </row>
    <row r="50" spans="2:11">
      <c r="B50" s="30" t="s">
        <v>728</v>
      </c>
      <c r="C50" s="11"/>
      <c r="D50" t="s">
        <v>1235</v>
      </c>
      <c r="K50" s="31"/>
    </row>
    <row r="51" spans="2:11">
      <c r="B51" s="30" t="s">
        <v>730</v>
      </c>
      <c r="C51" s="11"/>
      <c r="D51" t="s">
        <v>1235</v>
      </c>
      <c r="K51" s="31"/>
    </row>
    <row r="52" spans="2:11">
      <c r="B52" s="30" t="s">
        <v>1236</v>
      </c>
      <c r="C52" s="11"/>
      <c r="D52" t="s">
        <v>1235</v>
      </c>
      <c r="K52" s="31"/>
    </row>
    <row r="53" spans="2:11">
      <c r="B53" s="30" t="s">
        <v>1237</v>
      </c>
      <c r="C53" s="11"/>
      <c r="D53" t="s">
        <v>1238</v>
      </c>
      <c r="E53" s="11"/>
      <c r="F53" t="s">
        <v>1239</v>
      </c>
      <c r="G53" s="11"/>
      <c r="H53" t="s">
        <v>1240</v>
      </c>
      <c r="I53" s="11"/>
      <c r="J53" t="s">
        <v>1241</v>
      </c>
      <c r="K53" s="31"/>
    </row>
    <row r="54" spans="2:11">
      <c r="B54" s="30" t="s">
        <v>1242</v>
      </c>
      <c r="C54" s="11"/>
      <c r="D54" t="s">
        <v>1238</v>
      </c>
      <c r="E54" s="11"/>
      <c r="F54" t="s">
        <v>1239</v>
      </c>
      <c r="G54" s="11"/>
      <c r="H54" t="s">
        <v>1240</v>
      </c>
      <c r="I54" s="11"/>
      <c r="J54" t="s">
        <v>1243</v>
      </c>
      <c r="K54" s="31"/>
    </row>
    <row r="55" spans="2:11" ht="15.75" thickBot="1">
      <c r="B55" s="43"/>
      <c r="C55" s="33"/>
      <c r="D55" s="33"/>
      <c r="E55" s="33"/>
      <c r="F55" s="33"/>
      <c r="G55" s="33"/>
      <c r="H55" s="33"/>
      <c r="I55" s="33"/>
      <c r="J55" s="33"/>
      <c r="K55" s="34"/>
    </row>
    <row r="56" spans="2:11" ht="15.75" thickBot="1"/>
    <row r="57" spans="2:11">
      <c r="B57" s="27" t="s">
        <v>1244</v>
      </c>
      <c r="C57" s="28"/>
      <c r="D57" s="29"/>
    </row>
    <row r="58" spans="2:11">
      <c r="B58" s="41"/>
      <c r="D58" s="31"/>
    </row>
    <row r="59" spans="2:11">
      <c r="B59" s="30" t="s">
        <v>750</v>
      </c>
      <c r="C59" s="11"/>
      <c r="D59" s="31" t="s">
        <v>1245</v>
      </c>
    </row>
    <row r="60" spans="2:11">
      <c r="B60" s="30" t="s">
        <v>752</v>
      </c>
      <c r="C60" s="11"/>
      <c r="D60" s="31" t="s">
        <v>1245</v>
      </c>
    </row>
    <row r="61" spans="2:11">
      <c r="B61" s="30" t="s">
        <v>754</v>
      </c>
      <c r="C61" s="11"/>
      <c r="D61" s="31" t="s">
        <v>1245</v>
      </c>
    </row>
    <row r="62" spans="2:11" ht="15.75" thickBot="1">
      <c r="B62" s="43" t="s">
        <v>756</v>
      </c>
      <c r="C62" s="48"/>
      <c r="D62" s="34" t="s">
        <v>1245</v>
      </c>
    </row>
    <row r="64" spans="2:11" ht="15.75" thickBot="1"/>
    <row r="65" spans="2:8">
      <c r="B65" s="27" t="s">
        <v>1246</v>
      </c>
      <c r="C65" s="50"/>
      <c r="D65" s="51"/>
      <c r="E65" s="1"/>
      <c r="F65" s="1"/>
      <c r="G65" s="1"/>
      <c r="H65" s="1"/>
    </row>
    <row r="66" spans="2:8">
      <c r="B66" s="41"/>
      <c r="C66" s="1"/>
      <c r="D66" s="68"/>
      <c r="E66" s="1"/>
      <c r="F66" s="1"/>
      <c r="G66" s="1"/>
      <c r="H66" s="1"/>
    </row>
    <row r="67" spans="2:8">
      <c r="B67" s="30" t="s">
        <v>1247</v>
      </c>
      <c r="C67" s="11"/>
      <c r="D67" s="31" t="s">
        <v>1248</v>
      </c>
      <c r="E67" s="11"/>
      <c r="G67" s="11"/>
    </row>
    <row r="68" spans="2:8">
      <c r="B68" s="30" t="s">
        <v>1249</v>
      </c>
      <c r="C68" s="11"/>
      <c r="D68" s="31" t="s">
        <v>1205</v>
      </c>
      <c r="E68" s="11"/>
      <c r="G68" s="11"/>
    </row>
    <row r="69" spans="2:8">
      <c r="B69" s="30" t="s">
        <v>1250</v>
      </c>
      <c r="C69" s="11"/>
      <c r="D69" s="31" t="s">
        <v>1205</v>
      </c>
      <c r="E69" s="11"/>
      <c r="G69" s="11"/>
    </row>
    <row r="70" spans="2:8">
      <c r="B70" s="30" t="s">
        <v>1251</v>
      </c>
      <c r="C70" s="11"/>
      <c r="D70" s="31" t="s">
        <v>1205</v>
      </c>
      <c r="E70" s="11"/>
      <c r="G70" s="11"/>
    </row>
    <row r="71" spans="2:8">
      <c r="B71" s="30" t="s">
        <v>1252</v>
      </c>
      <c r="C71" s="11"/>
      <c r="D71" s="31" t="s">
        <v>1203</v>
      </c>
      <c r="E71" s="11"/>
      <c r="G71" s="11"/>
    </row>
    <row r="72" spans="2:8">
      <c r="B72" s="30" t="s">
        <v>1253</v>
      </c>
      <c r="C72" s="11"/>
      <c r="D72" s="31" t="s">
        <v>1248</v>
      </c>
    </row>
    <row r="73" spans="2:8" ht="15.75" thickBot="1">
      <c r="B73" s="43"/>
      <c r="C73" s="33"/>
      <c r="D73" s="34"/>
    </row>
  </sheetData>
  <sheetProtection algorithmName="SHA-512" hashValue="QCI3Sh8JTXkLvNmZQsVl895mN7nUgYOM1/iJxBhsHBIs4nWel+Rr+W3RSaEU3Tk3lf+RqzdOwR8OeynLL5cvwg==" saltValue="PLHhPyUMWfOsol0kz1u/BA==" spinCount="100000" sheet="1" objects="1" scenarios="1"/>
  <mergeCells count="2">
    <mergeCell ref="E12:E13"/>
    <mergeCell ref="B7:Q9"/>
  </mergeCells>
  <conditionalFormatting sqref="C15:C19 C21:C23 C25:C27 C29:C31">
    <cfRule type="containsBlanks" dxfId="59" priority="37">
      <formula>LEN(TRIM(C15))=0</formula>
    </cfRule>
  </conditionalFormatting>
  <conditionalFormatting sqref="C29:C31 C15:C19 C21:C23 C25:C27">
    <cfRule type="expression" dxfId="58" priority="36">
      <formula>$E15="Yes"</formula>
    </cfRule>
  </conditionalFormatting>
  <conditionalFormatting sqref="C29:C31">
    <cfRule type="containsBlanks" dxfId="57" priority="29">
      <formula>LEN(TRIM(C29))=0</formula>
    </cfRule>
  </conditionalFormatting>
  <conditionalFormatting sqref="C33:C34">
    <cfRule type="containsBlanks" dxfId="56" priority="48">
      <formula>LEN(TRIM(C33))=0</formula>
    </cfRule>
  </conditionalFormatting>
  <conditionalFormatting sqref="C39:C44">
    <cfRule type="containsBlanks" dxfId="55" priority="23">
      <formula>LEN(TRIM(C39))=0</formula>
    </cfRule>
  </conditionalFormatting>
  <conditionalFormatting sqref="C49:C54">
    <cfRule type="containsBlanks" dxfId="54" priority="57">
      <formula>LEN(TRIM(C49))=0</formula>
    </cfRule>
  </conditionalFormatting>
  <conditionalFormatting sqref="C59:C62">
    <cfRule type="containsBlanks" dxfId="53" priority="58">
      <formula>LEN(TRIM(C59))=0</formula>
    </cfRule>
  </conditionalFormatting>
  <conditionalFormatting sqref="C67:C72">
    <cfRule type="containsBlanks" dxfId="52" priority="4">
      <formula>LEN(TRIM(C67))=0</formula>
    </cfRule>
  </conditionalFormatting>
  <conditionalFormatting sqref="E15:E19 E21:E23 E25:E27">
    <cfRule type="containsText" dxfId="51" priority="47" operator="containsText" text="&lt;Choose&gt;">
      <formula>NOT(ISERROR(SEARCH("&lt;Choose&gt;",E15)))</formula>
    </cfRule>
  </conditionalFormatting>
  <conditionalFormatting sqref="E29:E31">
    <cfRule type="containsText" dxfId="50" priority="44" operator="containsText" text="&lt;Choose&gt;">
      <formula>NOT(ISERROR(SEARCH("&lt;Choose&gt;",E29)))</formula>
    </cfRule>
  </conditionalFormatting>
  <conditionalFormatting sqref="E34">
    <cfRule type="containsText" dxfId="49" priority="3" operator="containsText" text="&lt;Choose&gt;">
      <formula>NOT(ISERROR(SEARCH("&lt;Choose&gt;",E34)))</formula>
    </cfRule>
  </conditionalFormatting>
  <conditionalFormatting sqref="E53:E54">
    <cfRule type="containsBlanks" dxfId="48" priority="56">
      <formula>LEN(TRIM(E53))=0</formula>
    </cfRule>
  </conditionalFormatting>
  <conditionalFormatting sqref="F15:Q19 F22:H22 K22:Q22 F29:Q31">
    <cfRule type="notContainsBlanks" dxfId="47" priority="63">
      <formula>LEN(TRIM(F15))&gt;0</formula>
    </cfRule>
    <cfRule type="expression" dxfId="46" priority="64">
      <formula>$E15="Yes"</formula>
    </cfRule>
  </conditionalFormatting>
  <conditionalFormatting sqref="F21:Q21">
    <cfRule type="notContainsBlanks" dxfId="45" priority="21">
      <formula>LEN(TRIM(F21))&gt;0</formula>
    </cfRule>
    <cfRule type="expression" dxfId="44" priority="22">
      <formula>$E21="Yes"</formula>
    </cfRule>
  </conditionalFormatting>
  <conditionalFormatting sqref="F23:Q23">
    <cfRule type="notContainsBlanks" dxfId="43" priority="15">
      <formula>LEN(TRIM(F23))&gt;0</formula>
    </cfRule>
    <cfRule type="expression" dxfId="42" priority="16">
      <formula>$E23="Yes"</formula>
    </cfRule>
  </conditionalFormatting>
  <conditionalFormatting sqref="F25:Q27">
    <cfRule type="notContainsBlanks" dxfId="41" priority="7">
      <formula>LEN(TRIM(F25))&gt;0</formula>
    </cfRule>
    <cfRule type="expression" dxfId="40" priority="8">
      <formula>$E25="Yes"</formula>
    </cfRule>
  </conditionalFormatting>
  <conditionalFormatting sqref="F34:Q34">
    <cfRule type="notContainsBlanks" dxfId="39" priority="1">
      <formula>LEN(TRIM(F34))&gt;0</formula>
    </cfRule>
    <cfRule type="expression" dxfId="38" priority="2">
      <formula>$E34="Yes"</formula>
    </cfRule>
  </conditionalFormatting>
  <conditionalFormatting sqref="G53:G54">
    <cfRule type="containsBlanks" dxfId="37" priority="55">
      <formula>LEN(TRIM(G53))=0</formula>
    </cfRule>
  </conditionalFormatting>
  <conditionalFormatting sqref="I53:I54">
    <cfRule type="containsBlanks" dxfId="36" priority="54">
      <formula>LEN(TRIM(I53))=0</formula>
    </cfRule>
  </conditionalFormatting>
  <conditionalFormatting sqref="J23:K23">
    <cfRule type="notContainsBlanks" dxfId="35" priority="92">
      <formula>LEN(TRIM(J23))&gt;0</formula>
    </cfRule>
    <cfRule type="expression" dxfId="34" priority="93">
      <formula>$E22="Yes"</formula>
    </cfRule>
  </conditionalFormatting>
  <dataValidations count="2">
    <dataValidation type="list" allowBlank="1" showInputMessage="1" showErrorMessage="1" sqref="E34 E15:E19 E25:E27 E21:E23 E29:E30" xr:uid="{00000000-0002-0000-0600-000000000000}">
      <formula1>"&lt;Choose&gt;,Yes,No"</formula1>
    </dataValidation>
    <dataValidation type="decimal" errorStyle="information" operator="lessThanOrEqual" allowBlank="1" showInputMessage="1" showErrorMessage="1" errorTitle="Minimum Update Time" error="Suppliers operating within the dispatchable portion of their operating range must be capable of responding to ISO instructions to change output leves within ten minutes." sqref="C39:C40" xr:uid="{00000000-0002-0000-0600-000001000000}">
      <formula1>10</formula1>
    </dataValidation>
  </dataValidations>
  <printOptions horizontalCentered="1"/>
  <pageMargins left="0" right="0" top="0" bottom="0" header="0" footer="0"/>
  <pageSetup scale="54"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E8503-08D6-41A5-995E-0885A3A6E833}">
  <sheetPr codeName="Sheet11"/>
  <dimension ref="A1:K1043"/>
  <sheetViews>
    <sheetView showGridLines="0" zoomScaleNormal="100" workbookViewId="0"/>
  </sheetViews>
  <sheetFormatPr defaultColWidth="10.85546875" defaultRowHeight="15"/>
  <cols>
    <col min="1" max="1" width="9.42578125" customWidth="1"/>
    <col min="2" max="2" width="4.42578125" customWidth="1"/>
    <col min="3" max="3" width="7.42578125" customWidth="1"/>
    <col min="4" max="4" width="44.5703125" customWidth="1"/>
    <col min="5" max="5" width="17.140625" customWidth="1"/>
    <col min="6" max="6" width="1" customWidth="1"/>
    <col min="7" max="8" width="18.42578125" customWidth="1"/>
    <col min="9" max="9" width="19.85546875" customWidth="1"/>
    <col min="10" max="10" width="1" customWidth="1"/>
    <col min="11" max="11" width="52.140625" customWidth="1"/>
    <col min="12" max="12" width="4.42578125" customWidth="1"/>
  </cols>
  <sheetData>
    <row r="1" spans="1:11" ht="15.75" thickBot="1"/>
    <row r="2" spans="1:11" ht="18.75">
      <c r="B2" s="44" t="s">
        <v>1124</v>
      </c>
      <c r="C2" s="145"/>
      <c r="D2" s="37"/>
      <c r="E2" s="37"/>
      <c r="F2" s="37"/>
      <c r="G2" s="37"/>
      <c r="H2" s="37"/>
      <c r="I2" s="37"/>
      <c r="J2" s="37"/>
      <c r="K2" s="146" t="s">
        <v>960</v>
      </c>
    </row>
    <row r="3" spans="1:11" ht="18.75">
      <c r="B3" s="46" t="str">
        <f>+Instructions!B3</f>
        <v>Version 1.0 - April 7, 2025</v>
      </c>
      <c r="C3" s="30"/>
      <c r="K3" s="147" t="s">
        <v>962</v>
      </c>
    </row>
    <row r="4" spans="1:11" ht="15.75" thickBot="1">
      <c r="B4" s="40"/>
      <c r="C4" s="33"/>
      <c r="D4" s="33"/>
      <c r="E4" s="33"/>
      <c r="F4" s="33"/>
      <c r="G4" s="33"/>
      <c r="H4" s="33"/>
      <c r="I4" s="33"/>
      <c r="J4" s="33"/>
      <c r="K4" s="34"/>
    </row>
    <row r="5" spans="1:11" ht="17.100000000000001" customHeight="1" thickBot="1"/>
    <row r="6" spans="1:11" ht="15" customHeight="1">
      <c r="A6" s="138"/>
      <c r="B6" s="284" t="s">
        <v>1254</v>
      </c>
      <c r="C6" s="285"/>
      <c r="D6" s="285"/>
      <c r="E6" s="285"/>
      <c r="F6" s="285"/>
      <c r="G6" s="285"/>
      <c r="H6" s="285"/>
      <c r="I6" s="285"/>
      <c r="J6" s="285"/>
      <c r="K6" s="286"/>
    </row>
    <row r="7" spans="1:11">
      <c r="A7" s="138"/>
      <c r="B7" s="249"/>
      <c r="C7" s="287"/>
      <c r="D7" s="287"/>
      <c r="E7" s="287"/>
      <c r="F7" s="287"/>
      <c r="G7" s="287"/>
      <c r="H7" s="287"/>
      <c r="I7" s="287"/>
      <c r="J7" s="287"/>
      <c r="K7" s="288"/>
    </row>
    <row r="8" spans="1:11" ht="15.95" customHeight="1">
      <c r="A8" s="138"/>
      <c r="B8" s="249"/>
      <c r="C8" s="287"/>
      <c r="D8" s="287"/>
      <c r="E8" s="287"/>
      <c r="F8" s="287"/>
      <c r="G8" s="287"/>
      <c r="H8" s="287"/>
      <c r="I8" s="287"/>
      <c r="J8" s="287"/>
      <c r="K8" s="288"/>
    </row>
    <row r="9" spans="1:11" ht="35.1" customHeight="1">
      <c r="A9" s="138"/>
      <c r="B9" s="249"/>
      <c r="C9" s="287"/>
      <c r="D9" s="287"/>
      <c r="E9" s="287"/>
      <c r="F9" s="287"/>
      <c r="G9" s="287"/>
      <c r="H9" s="287"/>
      <c r="I9" s="287"/>
      <c r="J9" s="287"/>
      <c r="K9" s="288"/>
    </row>
    <row r="10" spans="1:11" ht="35.1" customHeight="1" thickBot="1">
      <c r="A10" s="138"/>
      <c r="B10" s="289"/>
      <c r="C10" s="290"/>
      <c r="D10" s="290"/>
      <c r="E10" s="290"/>
      <c r="F10" s="290"/>
      <c r="G10" s="290"/>
      <c r="H10" s="290"/>
      <c r="I10" s="290"/>
      <c r="J10" s="290"/>
      <c r="K10" s="291"/>
    </row>
    <row r="11" spans="1:11" ht="20.100000000000001" customHeight="1" thickBot="1">
      <c r="A11" s="138"/>
      <c r="B11" s="139"/>
      <c r="C11" s="139"/>
      <c r="D11" s="139"/>
      <c r="E11" s="140"/>
      <c r="F11" s="140"/>
      <c r="G11" s="140"/>
      <c r="H11" s="140"/>
      <c r="I11" s="140"/>
      <c r="J11" s="140"/>
      <c r="K11" s="140"/>
    </row>
    <row r="12" spans="1:11" ht="20.100000000000001" customHeight="1">
      <c r="A12" s="138"/>
      <c r="B12" s="149"/>
      <c r="C12" s="150"/>
      <c r="D12" s="151"/>
      <c r="E12" s="152" t="s">
        <v>1255</v>
      </c>
      <c r="F12" s="152"/>
      <c r="G12" s="292" t="s">
        <v>1256</v>
      </c>
      <c r="H12" s="292"/>
      <c r="I12" s="292"/>
      <c r="J12" s="152"/>
      <c r="K12" s="153" t="s">
        <v>1257</v>
      </c>
    </row>
    <row r="13" spans="1:11" ht="30">
      <c r="A13" s="138"/>
      <c r="B13" s="293" t="s">
        <v>1258</v>
      </c>
      <c r="C13" s="294"/>
      <c r="D13" s="294"/>
      <c r="E13" s="148" t="s">
        <v>1259</v>
      </c>
      <c r="F13" s="148"/>
      <c r="G13" s="141" t="s">
        <v>1260</v>
      </c>
      <c r="H13" s="141" t="s">
        <v>1261</v>
      </c>
      <c r="I13" s="141" t="s">
        <v>1262</v>
      </c>
      <c r="J13" s="148"/>
      <c r="K13" s="154"/>
    </row>
    <row r="14" spans="1:11">
      <c r="A14" s="138"/>
      <c r="B14" s="155" t="s">
        <v>1263</v>
      </c>
      <c r="C14" s="156"/>
      <c r="D14" s="157"/>
      <c r="E14" s="158"/>
      <c r="F14" s="158"/>
      <c r="G14" s="158"/>
      <c r="H14" s="158"/>
      <c r="I14" s="158"/>
      <c r="J14" s="158"/>
      <c r="K14" s="159"/>
    </row>
    <row r="15" spans="1:11">
      <c r="A15" s="138"/>
      <c r="B15" s="160"/>
      <c r="C15" s="142"/>
      <c r="D15" s="143" t="s">
        <v>1264</v>
      </c>
      <c r="E15" s="231" t="s">
        <v>771</v>
      </c>
      <c r="F15" s="232"/>
      <c r="G15" s="231" t="s">
        <v>771</v>
      </c>
      <c r="H15" s="231" t="s">
        <v>771</v>
      </c>
      <c r="I15" s="231" t="s">
        <v>771</v>
      </c>
      <c r="J15" s="232"/>
      <c r="K15" s="233"/>
    </row>
    <row r="16" spans="1:11">
      <c r="A16" s="138"/>
      <c r="B16" s="160"/>
      <c r="C16" s="142"/>
      <c r="D16" s="143" t="s">
        <v>1265</v>
      </c>
      <c r="E16" s="231" t="s">
        <v>771</v>
      </c>
      <c r="F16" s="232"/>
      <c r="G16" s="231" t="s">
        <v>771</v>
      </c>
      <c r="H16" s="231" t="s">
        <v>771</v>
      </c>
      <c r="I16" s="231" t="s">
        <v>771</v>
      </c>
      <c r="J16" s="232"/>
      <c r="K16" s="233"/>
    </row>
    <row r="17" spans="1:11" ht="17.100000000000001" customHeight="1">
      <c r="A17" s="138"/>
      <c r="B17" s="155" t="s">
        <v>1266</v>
      </c>
      <c r="C17" s="156"/>
      <c r="D17" s="157"/>
      <c r="E17" s="158"/>
      <c r="F17" s="158"/>
      <c r="G17" s="158"/>
      <c r="H17" s="158"/>
      <c r="I17" s="158"/>
      <c r="J17" s="158"/>
      <c r="K17" s="159"/>
    </row>
    <row r="18" spans="1:11" ht="17.100000000000001" customHeight="1">
      <c r="A18" s="138"/>
      <c r="B18" s="161"/>
      <c r="C18" s="142"/>
      <c r="D18" s="143" t="s">
        <v>1267</v>
      </c>
      <c r="E18" s="234" t="s">
        <v>771</v>
      </c>
      <c r="F18" s="232"/>
      <c r="G18" s="231" t="s">
        <v>771</v>
      </c>
      <c r="H18" s="231" t="s">
        <v>771</v>
      </c>
      <c r="I18" s="231" t="s">
        <v>771</v>
      </c>
      <c r="J18" s="232"/>
      <c r="K18" s="233"/>
    </row>
    <row r="19" spans="1:11" ht="17.100000000000001" customHeight="1">
      <c r="A19" s="138"/>
      <c r="B19" s="161"/>
      <c r="C19" s="142"/>
      <c r="D19" s="143" t="s">
        <v>1265</v>
      </c>
      <c r="E19" s="234" t="s">
        <v>771</v>
      </c>
      <c r="F19" s="232"/>
      <c r="G19" s="231" t="s">
        <v>771</v>
      </c>
      <c r="H19" s="231" t="s">
        <v>771</v>
      </c>
      <c r="I19" s="231" t="s">
        <v>771</v>
      </c>
      <c r="J19" s="232"/>
      <c r="K19" s="233"/>
    </row>
    <row r="20" spans="1:11">
      <c r="A20" s="138"/>
      <c r="B20" s="162"/>
      <c r="C20" s="142"/>
      <c r="D20" s="143" t="s">
        <v>1268</v>
      </c>
      <c r="E20" s="234" t="s">
        <v>771</v>
      </c>
      <c r="F20" s="232"/>
      <c r="G20" s="231" t="s">
        <v>771</v>
      </c>
      <c r="H20" s="231" t="s">
        <v>771</v>
      </c>
      <c r="I20" s="231" t="s">
        <v>771</v>
      </c>
      <c r="J20" s="232"/>
      <c r="K20" s="233"/>
    </row>
    <row r="21" spans="1:11">
      <c r="A21" s="138"/>
      <c r="B21" s="162"/>
      <c r="C21" s="142"/>
      <c r="D21" s="143" t="s">
        <v>1269</v>
      </c>
      <c r="E21" s="234" t="s">
        <v>771</v>
      </c>
      <c r="F21" s="232"/>
      <c r="G21" s="231" t="s">
        <v>771</v>
      </c>
      <c r="H21" s="231" t="s">
        <v>771</v>
      </c>
      <c r="I21" s="231" t="s">
        <v>771</v>
      </c>
      <c r="J21" s="232"/>
      <c r="K21" s="233"/>
    </row>
    <row r="22" spans="1:11" ht="17.100000000000001" customHeight="1">
      <c r="A22" s="138"/>
      <c r="B22" s="162"/>
      <c r="C22" s="142"/>
      <c r="D22" s="143" t="s">
        <v>1270</v>
      </c>
      <c r="E22" s="234" t="s">
        <v>771</v>
      </c>
      <c r="F22" s="232"/>
      <c r="G22" s="231" t="s">
        <v>771</v>
      </c>
      <c r="H22" s="231" t="s">
        <v>771</v>
      </c>
      <c r="I22" s="231" t="s">
        <v>771</v>
      </c>
      <c r="J22" s="232"/>
      <c r="K22" s="233"/>
    </row>
    <row r="23" spans="1:11" ht="30">
      <c r="A23" s="138"/>
      <c r="B23" s="162"/>
      <c r="C23" s="142"/>
      <c r="D23" s="143" t="s">
        <v>1271</v>
      </c>
      <c r="E23" s="234" t="s">
        <v>771</v>
      </c>
      <c r="F23" s="232"/>
      <c r="G23" s="231" t="s">
        <v>771</v>
      </c>
      <c r="H23" s="231" t="s">
        <v>771</v>
      </c>
      <c r="I23" s="231" t="s">
        <v>771</v>
      </c>
      <c r="J23" s="232"/>
      <c r="K23" s="233"/>
    </row>
    <row r="24" spans="1:11">
      <c r="A24" s="138"/>
      <c r="B24" s="155" t="s">
        <v>1272</v>
      </c>
      <c r="C24" s="156"/>
      <c r="D24" s="157"/>
      <c r="E24" s="158"/>
      <c r="F24" s="158"/>
      <c r="G24" s="158"/>
      <c r="H24" s="158"/>
      <c r="I24" s="158"/>
      <c r="J24" s="158"/>
      <c r="K24" s="159"/>
    </row>
    <row r="25" spans="1:11">
      <c r="A25" s="138"/>
      <c r="B25" s="30"/>
      <c r="C25" s="163"/>
      <c r="D25" s="143" t="s">
        <v>1273</v>
      </c>
      <c r="E25" s="234" t="s">
        <v>771</v>
      </c>
      <c r="F25" s="232"/>
      <c r="G25" s="231" t="s">
        <v>771</v>
      </c>
      <c r="H25" s="231" t="s">
        <v>771</v>
      </c>
      <c r="I25" s="231" t="s">
        <v>771</v>
      </c>
      <c r="J25" s="232"/>
      <c r="K25" s="233"/>
    </row>
    <row r="26" spans="1:11">
      <c r="A26" s="138"/>
      <c r="B26" s="30"/>
      <c r="C26" s="163"/>
      <c r="D26" s="143" t="s">
        <v>1096</v>
      </c>
      <c r="E26" s="234" t="s">
        <v>771</v>
      </c>
      <c r="F26" s="232"/>
      <c r="G26" s="231" t="s">
        <v>771</v>
      </c>
      <c r="H26" s="231" t="s">
        <v>771</v>
      </c>
      <c r="I26" s="231" t="s">
        <v>771</v>
      </c>
      <c r="J26" s="232"/>
      <c r="K26" s="233"/>
    </row>
    <row r="27" spans="1:11">
      <c r="A27" s="138"/>
      <c r="B27" s="155" t="s">
        <v>1274</v>
      </c>
      <c r="C27" s="156"/>
      <c r="D27" s="157"/>
      <c r="E27" s="158"/>
      <c r="F27" s="158"/>
      <c r="G27" s="158"/>
      <c r="H27" s="158"/>
      <c r="I27" s="158"/>
      <c r="J27" s="158"/>
      <c r="K27" s="159"/>
    </row>
    <row r="28" spans="1:11">
      <c r="A28" s="138" t="s">
        <v>983</v>
      </c>
      <c r="B28" s="160"/>
      <c r="C28" s="142" t="s">
        <v>1275</v>
      </c>
      <c r="D28" s="164"/>
      <c r="E28" s="140"/>
      <c r="F28" s="140"/>
      <c r="G28" s="140"/>
      <c r="H28" s="140"/>
      <c r="I28" s="140"/>
      <c r="J28" s="140"/>
      <c r="K28" s="165"/>
    </row>
    <row r="29" spans="1:11">
      <c r="A29" s="138"/>
      <c r="B29" s="160"/>
      <c r="C29" s="142"/>
      <c r="D29" s="143" t="s">
        <v>1276</v>
      </c>
      <c r="E29" s="234" t="s">
        <v>771</v>
      </c>
      <c r="F29" s="232"/>
      <c r="G29" s="231" t="s">
        <v>771</v>
      </c>
      <c r="H29" s="231" t="s">
        <v>771</v>
      </c>
      <c r="I29" s="231" t="s">
        <v>771</v>
      </c>
      <c r="J29" s="232"/>
      <c r="K29" s="233"/>
    </row>
    <row r="30" spans="1:11">
      <c r="A30" s="138"/>
      <c r="B30" s="160"/>
      <c r="C30" s="142"/>
      <c r="D30" s="143" t="s">
        <v>1277</v>
      </c>
      <c r="E30" s="234" t="s">
        <v>771</v>
      </c>
      <c r="F30" s="232"/>
      <c r="G30" s="231" t="s">
        <v>771</v>
      </c>
      <c r="H30" s="231" t="s">
        <v>771</v>
      </c>
      <c r="I30" s="231" t="s">
        <v>771</v>
      </c>
      <c r="J30" s="232"/>
      <c r="K30" s="233"/>
    </row>
    <row r="31" spans="1:11">
      <c r="A31" s="138"/>
      <c r="B31" s="160"/>
      <c r="C31" s="142"/>
      <c r="D31" s="143" t="s">
        <v>1278</v>
      </c>
      <c r="E31" s="234" t="s">
        <v>771</v>
      </c>
      <c r="F31" s="232"/>
      <c r="G31" s="231" t="s">
        <v>771</v>
      </c>
      <c r="H31" s="231" t="s">
        <v>771</v>
      </c>
      <c r="I31" s="231" t="s">
        <v>771</v>
      </c>
      <c r="J31" s="232"/>
      <c r="K31" s="233"/>
    </row>
    <row r="32" spans="1:11">
      <c r="A32" s="138"/>
      <c r="B32" s="160"/>
      <c r="C32" s="142"/>
      <c r="D32" s="166" t="s">
        <v>1279</v>
      </c>
      <c r="E32" s="234" t="s">
        <v>771</v>
      </c>
      <c r="F32" s="232"/>
      <c r="G32" s="231" t="s">
        <v>771</v>
      </c>
      <c r="H32" s="231" t="s">
        <v>771</v>
      </c>
      <c r="I32" s="231" t="s">
        <v>771</v>
      </c>
      <c r="J32" s="232"/>
      <c r="K32" s="233"/>
    </row>
    <row r="33" spans="1:11">
      <c r="A33" s="138"/>
      <c r="B33" s="160"/>
      <c r="C33" s="142"/>
      <c r="D33" s="166" t="s">
        <v>1280</v>
      </c>
      <c r="E33" s="234" t="s">
        <v>771</v>
      </c>
      <c r="F33" s="232"/>
      <c r="G33" s="231" t="s">
        <v>771</v>
      </c>
      <c r="H33" s="231" t="s">
        <v>771</v>
      </c>
      <c r="I33" s="231" t="s">
        <v>771</v>
      </c>
      <c r="J33" s="232"/>
      <c r="K33" s="233"/>
    </row>
    <row r="34" spans="1:11">
      <c r="A34" s="138"/>
      <c r="B34" s="160"/>
      <c r="C34" s="142"/>
      <c r="D34" s="143" t="s">
        <v>1281</v>
      </c>
      <c r="E34" s="234" t="s">
        <v>771</v>
      </c>
      <c r="F34" s="232"/>
      <c r="G34" s="231" t="s">
        <v>771</v>
      </c>
      <c r="H34" s="231" t="s">
        <v>771</v>
      </c>
      <c r="I34" s="231" t="s">
        <v>771</v>
      </c>
      <c r="J34" s="232"/>
      <c r="K34" s="233"/>
    </row>
    <row r="35" spans="1:11">
      <c r="A35" s="138"/>
      <c r="B35" s="160"/>
      <c r="C35" s="142"/>
      <c r="D35" s="143" t="s">
        <v>1282</v>
      </c>
      <c r="E35" s="234" t="s">
        <v>771</v>
      </c>
      <c r="F35" s="232"/>
      <c r="G35" s="231" t="s">
        <v>771</v>
      </c>
      <c r="H35" s="231" t="s">
        <v>771</v>
      </c>
      <c r="I35" s="231" t="s">
        <v>771</v>
      </c>
      <c r="J35" s="232"/>
      <c r="K35" s="233"/>
    </row>
    <row r="36" spans="1:11">
      <c r="A36" s="138"/>
      <c r="B36" s="167"/>
      <c r="C36" s="142"/>
      <c r="D36" s="166" t="s">
        <v>1283</v>
      </c>
      <c r="E36" s="234" t="s">
        <v>771</v>
      </c>
      <c r="F36" s="232"/>
      <c r="G36" s="231" t="s">
        <v>771</v>
      </c>
      <c r="H36" s="231" t="s">
        <v>771</v>
      </c>
      <c r="I36" s="231" t="s">
        <v>771</v>
      </c>
      <c r="J36" s="232"/>
      <c r="K36" s="233"/>
    </row>
    <row r="37" spans="1:11">
      <c r="A37" s="138"/>
      <c r="B37" s="167"/>
      <c r="C37" s="142" t="s">
        <v>1142</v>
      </c>
      <c r="D37" s="143"/>
      <c r="E37" s="140"/>
      <c r="F37" s="140"/>
      <c r="G37" s="140"/>
      <c r="H37" s="140"/>
      <c r="I37" s="140"/>
      <c r="J37" s="140"/>
      <c r="K37" s="165"/>
    </row>
    <row r="38" spans="1:11" ht="30">
      <c r="A38" s="138"/>
      <c r="B38" s="160"/>
      <c r="C38" s="142"/>
      <c r="D38" s="168" t="s">
        <v>1284</v>
      </c>
      <c r="E38" s="234" t="s">
        <v>771</v>
      </c>
      <c r="F38" s="232"/>
      <c r="G38" s="231" t="s">
        <v>771</v>
      </c>
      <c r="H38" s="231" t="s">
        <v>771</v>
      </c>
      <c r="I38" s="231" t="s">
        <v>771</v>
      </c>
      <c r="J38" s="232"/>
      <c r="K38" s="233"/>
    </row>
    <row r="39" spans="1:11" ht="30">
      <c r="A39" s="138"/>
      <c r="B39" s="160"/>
      <c r="C39" s="142"/>
      <c r="D39" s="143" t="s">
        <v>1285</v>
      </c>
      <c r="E39" s="234" t="s">
        <v>771</v>
      </c>
      <c r="F39" s="232"/>
      <c r="G39" s="231" t="s">
        <v>771</v>
      </c>
      <c r="H39" s="231" t="s">
        <v>771</v>
      </c>
      <c r="I39" s="231" t="s">
        <v>771</v>
      </c>
      <c r="J39" s="232"/>
      <c r="K39" s="233"/>
    </row>
    <row r="40" spans="1:11" ht="30">
      <c r="A40" s="138"/>
      <c r="B40" s="160"/>
      <c r="C40" s="142"/>
      <c r="D40" s="143" t="s">
        <v>1286</v>
      </c>
      <c r="E40" s="234" t="s">
        <v>771</v>
      </c>
      <c r="F40" s="232"/>
      <c r="G40" s="231" t="s">
        <v>771</v>
      </c>
      <c r="H40" s="231" t="s">
        <v>771</v>
      </c>
      <c r="I40" s="231" t="s">
        <v>771</v>
      </c>
      <c r="J40" s="232"/>
      <c r="K40" s="233"/>
    </row>
    <row r="41" spans="1:11" ht="30">
      <c r="A41" s="138"/>
      <c r="B41" s="160"/>
      <c r="C41" s="142"/>
      <c r="D41" s="143" t="s">
        <v>1287</v>
      </c>
      <c r="E41" s="234" t="s">
        <v>771</v>
      </c>
      <c r="F41" s="232"/>
      <c r="G41" s="231" t="s">
        <v>771</v>
      </c>
      <c r="H41" s="231" t="s">
        <v>771</v>
      </c>
      <c r="I41" s="231" t="s">
        <v>771</v>
      </c>
      <c r="J41" s="232"/>
      <c r="K41" s="233"/>
    </row>
    <row r="42" spans="1:11">
      <c r="A42" s="138"/>
      <c r="B42" s="160"/>
      <c r="C42" s="142"/>
      <c r="D42" s="143" t="s">
        <v>1288</v>
      </c>
      <c r="E42" s="234" t="s">
        <v>771</v>
      </c>
      <c r="F42" s="232"/>
      <c r="G42" s="231" t="s">
        <v>771</v>
      </c>
      <c r="H42" s="231" t="s">
        <v>771</v>
      </c>
      <c r="I42" s="231" t="s">
        <v>771</v>
      </c>
      <c r="J42" s="232"/>
      <c r="K42" s="233"/>
    </row>
    <row r="43" spans="1:11">
      <c r="A43" s="138"/>
      <c r="B43" s="160"/>
      <c r="C43" s="142"/>
      <c r="D43" s="143" t="s">
        <v>1289</v>
      </c>
      <c r="E43" s="234" t="s">
        <v>771</v>
      </c>
      <c r="F43" s="232"/>
      <c r="G43" s="231" t="s">
        <v>771</v>
      </c>
      <c r="H43" s="231" t="s">
        <v>771</v>
      </c>
      <c r="I43" s="231" t="s">
        <v>771</v>
      </c>
      <c r="J43" s="232"/>
      <c r="K43" s="233"/>
    </row>
    <row r="44" spans="1:11">
      <c r="A44" s="138"/>
      <c r="B44" s="160"/>
      <c r="C44" s="142"/>
      <c r="D44" s="143" t="s">
        <v>1290</v>
      </c>
      <c r="E44" s="234" t="s">
        <v>771</v>
      </c>
      <c r="F44" s="232"/>
      <c r="G44" s="231" t="s">
        <v>771</v>
      </c>
      <c r="H44" s="231" t="s">
        <v>771</v>
      </c>
      <c r="I44" s="231" t="s">
        <v>771</v>
      </c>
      <c r="J44" s="232"/>
      <c r="K44" s="233"/>
    </row>
    <row r="45" spans="1:11">
      <c r="A45" s="138"/>
      <c r="B45" s="160"/>
      <c r="C45" s="142"/>
      <c r="D45" s="143" t="s">
        <v>1291</v>
      </c>
      <c r="E45" s="234" t="s">
        <v>771</v>
      </c>
      <c r="F45" s="232"/>
      <c r="G45" s="231" t="s">
        <v>771</v>
      </c>
      <c r="H45" s="231" t="s">
        <v>771</v>
      </c>
      <c r="I45" s="231" t="s">
        <v>771</v>
      </c>
      <c r="J45" s="232"/>
      <c r="K45" s="233"/>
    </row>
    <row r="46" spans="1:11">
      <c r="A46" s="138"/>
      <c r="B46" s="160"/>
      <c r="C46" s="142"/>
      <c r="D46" s="143" t="s">
        <v>1292</v>
      </c>
      <c r="E46" s="234" t="s">
        <v>771</v>
      </c>
      <c r="F46" s="232"/>
      <c r="G46" s="231" t="s">
        <v>771</v>
      </c>
      <c r="H46" s="231" t="s">
        <v>771</v>
      </c>
      <c r="I46" s="231" t="s">
        <v>771</v>
      </c>
      <c r="J46" s="232"/>
      <c r="K46" s="233"/>
    </row>
    <row r="47" spans="1:11" ht="30">
      <c r="A47" s="138"/>
      <c r="B47" s="160"/>
      <c r="C47" s="142"/>
      <c r="D47" s="143" t="s">
        <v>1293</v>
      </c>
      <c r="E47" s="234" t="s">
        <v>771</v>
      </c>
      <c r="F47" s="232"/>
      <c r="G47" s="231" t="s">
        <v>771</v>
      </c>
      <c r="H47" s="231" t="s">
        <v>771</v>
      </c>
      <c r="I47" s="231" t="s">
        <v>771</v>
      </c>
      <c r="J47" s="232"/>
      <c r="K47" s="233"/>
    </row>
    <row r="48" spans="1:11">
      <c r="A48" s="138"/>
      <c r="B48" s="160"/>
      <c r="C48" s="142"/>
      <c r="D48" s="143" t="s">
        <v>1294</v>
      </c>
      <c r="E48" s="234" t="s">
        <v>771</v>
      </c>
      <c r="F48" s="232"/>
      <c r="G48" s="231" t="s">
        <v>771</v>
      </c>
      <c r="H48" s="231" t="s">
        <v>771</v>
      </c>
      <c r="I48" s="231" t="s">
        <v>771</v>
      </c>
      <c r="J48" s="232"/>
      <c r="K48" s="233"/>
    </row>
    <row r="49" spans="1:11">
      <c r="A49" s="138"/>
      <c r="B49" s="160"/>
      <c r="C49" s="142"/>
      <c r="D49" s="143" t="s">
        <v>1295</v>
      </c>
      <c r="E49" s="234" t="s">
        <v>771</v>
      </c>
      <c r="F49" s="232"/>
      <c r="G49" s="231" t="s">
        <v>771</v>
      </c>
      <c r="H49" s="231" t="s">
        <v>771</v>
      </c>
      <c r="I49" s="231" t="s">
        <v>771</v>
      </c>
      <c r="J49" s="232"/>
      <c r="K49" s="233"/>
    </row>
    <row r="50" spans="1:11">
      <c r="A50" s="138"/>
      <c r="B50" s="160"/>
      <c r="C50" s="142"/>
      <c r="D50" s="143" t="s">
        <v>1296</v>
      </c>
      <c r="E50" s="234" t="s">
        <v>771</v>
      </c>
      <c r="F50" s="232"/>
      <c r="G50" s="231" t="s">
        <v>771</v>
      </c>
      <c r="H50" s="231" t="s">
        <v>771</v>
      </c>
      <c r="I50" s="231" t="s">
        <v>771</v>
      </c>
      <c r="J50" s="232"/>
      <c r="K50" s="233"/>
    </row>
    <row r="51" spans="1:11">
      <c r="A51" s="138"/>
      <c r="B51" s="160"/>
      <c r="C51" s="142"/>
      <c r="D51" s="143" t="s">
        <v>1297</v>
      </c>
      <c r="E51" s="234" t="s">
        <v>771</v>
      </c>
      <c r="F51" s="232"/>
      <c r="G51" s="231" t="s">
        <v>771</v>
      </c>
      <c r="H51" s="231" t="s">
        <v>771</v>
      </c>
      <c r="I51" s="231" t="s">
        <v>771</v>
      </c>
      <c r="J51" s="232"/>
      <c r="K51" s="233"/>
    </row>
    <row r="52" spans="1:11">
      <c r="A52" s="138"/>
      <c r="B52" s="160"/>
      <c r="C52" s="142"/>
      <c r="D52" s="143" t="s">
        <v>1298</v>
      </c>
      <c r="E52" s="234" t="s">
        <v>771</v>
      </c>
      <c r="F52" s="232"/>
      <c r="G52" s="231" t="s">
        <v>771</v>
      </c>
      <c r="H52" s="231" t="s">
        <v>771</v>
      </c>
      <c r="I52" s="231" t="s">
        <v>771</v>
      </c>
      <c r="J52" s="232"/>
      <c r="K52" s="233"/>
    </row>
    <row r="53" spans="1:11">
      <c r="A53" s="138"/>
      <c r="B53" s="162"/>
      <c r="C53" s="142" t="s">
        <v>1299</v>
      </c>
      <c r="D53" s="169"/>
      <c r="E53" s="140"/>
      <c r="F53" s="140"/>
      <c r="G53" s="140"/>
      <c r="H53" s="140"/>
      <c r="I53" s="140"/>
      <c r="J53" s="140"/>
      <c r="K53" s="165"/>
    </row>
    <row r="54" spans="1:11">
      <c r="A54" s="138"/>
      <c r="B54" s="160"/>
      <c r="C54" s="142"/>
      <c r="D54" s="143" t="s">
        <v>1300</v>
      </c>
      <c r="E54" s="234" t="s">
        <v>771</v>
      </c>
      <c r="F54" s="232"/>
      <c r="G54" s="231" t="s">
        <v>771</v>
      </c>
      <c r="H54" s="231" t="s">
        <v>771</v>
      </c>
      <c r="I54" s="231" t="s">
        <v>771</v>
      </c>
      <c r="J54" s="232"/>
      <c r="K54" s="233"/>
    </row>
    <row r="55" spans="1:11">
      <c r="A55" s="138"/>
      <c r="B55" s="160"/>
      <c r="C55" s="142"/>
      <c r="D55" s="143" t="s">
        <v>1301</v>
      </c>
      <c r="E55" s="234" t="s">
        <v>771</v>
      </c>
      <c r="F55" s="232"/>
      <c r="G55" s="231" t="s">
        <v>771</v>
      </c>
      <c r="H55" s="231" t="s">
        <v>771</v>
      </c>
      <c r="I55" s="231" t="s">
        <v>771</v>
      </c>
      <c r="J55" s="232"/>
      <c r="K55" s="233"/>
    </row>
    <row r="56" spans="1:11">
      <c r="A56" s="138"/>
      <c r="B56" s="162"/>
      <c r="C56" s="142"/>
      <c r="D56" s="143" t="s">
        <v>1302</v>
      </c>
      <c r="E56" s="234" t="s">
        <v>771</v>
      </c>
      <c r="F56" s="232"/>
      <c r="G56" s="231" t="s">
        <v>771</v>
      </c>
      <c r="H56" s="231" t="s">
        <v>771</v>
      </c>
      <c r="I56" s="231" t="s">
        <v>771</v>
      </c>
      <c r="J56" s="232"/>
      <c r="K56" s="233"/>
    </row>
    <row r="57" spans="1:11">
      <c r="A57" s="138"/>
      <c r="B57" s="162"/>
      <c r="C57" s="142" t="s">
        <v>1303</v>
      </c>
      <c r="D57" s="169"/>
      <c r="E57" s="140"/>
      <c r="F57" s="140"/>
      <c r="G57" s="140"/>
      <c r="H57" s="140"/>
      <c r="I57" s="140"/>
      <c r="J57" s="140"/>
      <c r="K57" s="165"/>
    </row>
    <row r="58" spans="1:11">
      <c r="A58" s="138"/>
      <c r="B58" s="162"/>
      <c r="C58" s="142"/>
      <c r="D58" s="143" t="s">
        <v>1304</v>
      </c>
      <c r="E58" s="234" t="s">
        <v>771</v>
      </c>
      <c r="F58" s="232"/>
      <c r="G58" s="231" t="s">
        <v>771</v>
      </c>
      <c r="H58" s="231" t="s">
        <v>771</v>
      </c>
      <c r="I58" s="231" t="s">
        <v>771</v>
      </c>
      <c r="J58" s="232"/>
      <c r="K58" s="233"/>
    </row>
    <row r="59" spans="1:11">
      <c r="A59" s="138"/>
      <c r="B59" s="162"/>
      <c r="C59" s="142"/>
      <c r="D59" s="143" t="s">
        <v>1305</v>
      </c>
      <c r="E59" s="234" t="s">
        <v>771</v>
      </c>
      <c r="F59" s="232"/>
      <c r="G59" s="231" t="s">
        <v>771</v>
      </c>
      <c r="H59" s="231" t="s">
        <v>771</v>
      </c>
      <c r="I59" s="231" t="s">
        <v>771</v>
      </c>
      <c r="J59" s="232"/>
      <c r="K59" s="233"/>
    </row>
    <row r="60" spans="1:11">
      <c r="A60" s="138"/>
      <c r="B60" s="160"/>
      <c r="C60" s="142"/>
      <c r="D60" s="143" t="s">
        <v>1306</v>
      </c>
      <c r="E60" s="234" t="s">
        <v>771</v>
      </c>
      <c r="F60" s="232"/>
      <c r="G60" s="231" t="s">
        <v>771</v>
      </c>
      <c r="H60" s="231" t="s">
        <v>771</v>
      </c>
      <c r="I60" s="231" t="s">
        <v>771</v>
      </c>
      <c r="J60" s="232"/>
      <c r="K60" s="233"/>
    </row>
    <row r="61" spans="1:11">
      <c r="A61" s="138"/>
      <c r="B61" s="160"/>
      <c r="C61" s="142"/>
      <c r="D61" s="143" t="s">
        <v>1307</v>
      </c>
      <c r="E61" s="234" t="s">
        <v>771</v>
      </c>
      <c r="F61" s="232"/>
      <c r="G61" s="231" t="s">
        <v>771</v>
      </c>
      <c r="H61" s="231" t="s">
        <v>771</v>
      </c>
      <c r="I61" s="231" t="s">
        <v>771</v>
      </c>
      <c r="J61" s="232"/>
      <c r="K61" s="233"/>
    </row>
    <row r="62" spans="1:11">
      <c r="A62" s="138"/>
      <c r="B62" s="155" t="s">
        <v>1308</v>
      </c>
      <c r="C62" s="156"/>
      <c r="D62" s="157"/>
      <c r="E62" s="158"/>
      <c r="F62" s="158"/>
      <c r="G62" s="158"/>
      <c r="H62" s="158"/>
      <c r="I62" s="158"/>
      <c r="J62" s="158"/>
      <c r="K62" s="159"/>
    </row>
    <row r="63" spans="1:11">
      <c r="A63" s="138"/>
      <c r="B63" s="160"/>
      <c r="C63" s="142" t="s">
        <v>1309</v>
      </c>
      <c r="D63" s="143"/>
      <c r="E63" s="140"/>
      <c r="F63" s="140"/>
      <c r="G63" s="140"/>
      <c r="H63" s="140"/>
      <c r="I63" s="140"/>
      <c r="J63" s="140"/>
      <c r="K63" s="165"/>
    </row>
    <row r="64" spans="1:11" ht="30">
      <c r="A64" s="138"/>
      <c r="B64" s="160"/>
      <c r="C64" s="142"/>
      <c r="D64" s="143" t="s">
        <v>1310</v>
      </c>
      <c r="E64" s="234" t="s">
        <v>771</v>
      </c>
      <c r="F64" s="232"/>
      <c r="G64" s="231" t="s">
        <v>771</v>
      </c>
      <c r="H64" s="231" t="s">
        <v>771</v>
      </c>
      <c r="I64" s="231" t="s">
        <v>771</v>
      </c>
      <c r="J64" s="232"/>
      <c r="K64" s="233"/>
    </row>
    <row r="65" spans="1:11" ht="30">
      <c r="A65" s="138"/>
      <c r="B65" s="160"/>
      <c r="C65" s="142"/>
      <c r="D65" s="143" t="s">
        <v>1311</v>
      </c>
      <c r="E65" s="234" t="s">
        <v>771</v>
      </c>
      <c r="F65" s="232"/>
      <c r="G65" s="231" t="s">
        <v>771</v>
      </c>
      <c r="H65" s="231" t="s">
        <v>771</v>
      </c>
      <c r="I65" s="231" t="s">
        <v>771</v>
      </c>
      <c r="J65" s="232"/>
      <c r="K65" s="233"/>
    </row>
    <row r="66" spans="1:11">
      <c r="A66" s="138"/>
      <c r="B66" s="160"/>
      <c r="C66" s="142"/>
      <c r="D66" s="143" t="s">
        <v>1312</v>
      </c>
      <c r="E66" s="234" t="s">
        <v>771</v>
      </c>
      <c r="F66" s="232"/>
      <c r="G66" s="231" t="s">
        <v>771</v>
      </c>
      <c r="H66" s="231" t="s">
        <v>771</v>
      </c>
      <c r="I66" s="231" t="s">
        <v>771</v>
      </c>
      <c r="J66" s="232"/>
      <c r="K66" s="233"/>
    </row>
    <row r="67" spans="1:11" ht="30">
      <c r="A67" s="138"/>
      <c r="B67" s="160"/>
      <c r="C67" s="142"/>
      <c r="D67" s="143" t="s">
        <v>1313</v>
      </c>
      <c r="E67" s="234" t="s">
        <v>771</v>
      </c>
      <c r="F67" s="232"/>
      <c r="G67" s="231" t="s">
        <v>771</v>
      </c>
      <c r="H67" s="231" t="s">
        <v>771</v>
      </c>
      <c r="I67" s="231" t="s">
        <v>771</v>
      </c>
      <c r="J67" s="232"/>
      <c r="K67" s="233"/>
    </row>
    <row r="68" spans="1:11">
      <c r="A68" s="138"/>
      <c r="B68" s="167"/>
      <c r="C68" s="142"/>
      <c r="D68" s="143" t="s">
        <v>1314</v>
      </c>
      <c r="E68" s="234" t="s">
        <v>771</v>
      </c>
      <c r="F68" s="232"/>
      <c r="G68" s="231" t="s">
        <v>771</v>
      </c>
      <c r="H68" s="231" t="s">
        <v>771</v>
      </c>
      <c r="I68" s="231" t="s">
        <v>771</v>
      </c>
      <c r="J68" s="232"/>
      <c r="K68" s="233"/>
    </row>
    <row r="69" spans="1:11">
      <c r="A69" s="138"/>
      <c r="B69" s="167"/>
      <c r="C69" s="142" t="s">
        <v>1315</v>
      </c>
      <c r="D69" s="143"/>
      <c r="E69" s="140"/>
      <c r="F69" s="140"/>
      <c r="G69" s="140"/>
      <c r="H69" s="140"/>
      <c r="I69" s="140"/>
      <c r="J69" s="140"/>
      <c r="K69" s="165"/>
    </row>
    <row r="70" spans="1:11" ht="30">
      <c r="A70" s="138"/>
      <c r="B70" s="160"/>
      <c r="C70" s="142"/>
      <c r="D70" s="143" t="s">
        <v>1316</v>
      </c>
      <c r="E70" s="234" t="s">
        <v>771</v>
      </c>
      <c r="F70" s="232"/>
      <c r="G70" s="231" t="s">
        <v>771</v>
      </c>
      <c r="H70" s="231" t="s">
        <v>771</v>
      </c>
      <c r="I70" s="231" t="s">
        <v>771</v>
      </c>
      <c r="J70" s="232"/>
      <c r="K70" s="233"/>
    </row>
    <row r="71" spans="1:11" ht="45">
      <c r="A71" s="138"/>
      <c r="B71" s="160"/>
      <c r="C71" s="142"/>
      <c r="D71" s="143" t="s">
        <v>1317</v>
      </c>
      <c r="E71" s="234" t="s">
        <v>771</v>
      </c>
      <c r="F71" s="232"/>
      <c r="G71" s="231" t="s">
        <v>771</v>
      </c>
      <c r="H71" s="231" t="s">
        <v>771</v>
      </c>
      <c r="I71" s="231" t="s">
        <v>771</v>
      </c>
      <c r="J71" s="232"/>
      <c r="K71" s="233"/>
    </row>
    <row r="72" spans="1:11">
      <c r="A72" s="138"/>
      <c r="B72" s="167"/>
      <c r="C72" s="142" t="s">
        <v>1318</v>
      </c>
      <c r="D72" s="143"/>
      <c r="E72" s="140"/>
      <c r="F72" s="140"/>
      <c r="G72" s="140"/>
      <c r="H72" s="140"/>
      <c r="I72" s="140"/>
      <c r="J72" s="140"/>
      <c r="K72" s="165"/>
    </row>
    <row r="73" spans="1:11">
      <c r="A73" s="138"/>
      <c r="B73" s="160"/>
      <c r="C73" s="142"/>
      <c r="D73" s="143" t="s">
        <v>1319</v>
      </c>
      <c r="E73" s="234" t="s">
        <v>771</v>
      </c>
      <c r="F73" s="232"/>
      <c r="G73" s="231" t="s">
        <v>771</v>
      </c>
      <c r="H73" s="231" t="s">
        <v>771</v>
      </c>
      <c r="I73" s="231" t="s">
        <v>771</v>
      </c>
      <c r="J73" s="232"/>
      <c r="K73" s="233"/>
    </row>
    <row r="74" spans="1:11">
      <c r="A74" s="138"/>
      <c r="B74" s="167"/>
      <c r="C74" s="142"/>
      <c r="D74" s="143" t="s">
        <v>1320</v>
      </c>
      <c r="E74" s="234" t="s">
        <v>771</v>
      </c>
      <c r="F74" s="232"/>
      <c r="G74" s="231" t="s">
        <v>771</v>
      </c>
      <c r="H74" s="231" t="s">
        <v>771</v>
      </c>
      <c r="I74" s="231" t="s">
        <v>771</v>
      </c>
      <c r="J74" s="232"/>
      <c r="K74" s="233"/>
    </row>
    <row r="75" spans="1:11">
      <c r="A75" s="138"/>
      <c r="B75" s="161"/>
      <c r="C75" s="142"/>
      <c r="D75" s="143" t="s">
        <v>1321</v>
      </c>
      <c r="E75" s="234" t="s">
        <v>771</v>
      </c>
      <c r="F75" s="232"/>
      <c r="G75" s="231" t="s">
        <v>771</v>
      </c>
      <c r="H75" s="231" t="s">
        <v>771</v>
      </c>
      <c r="I75" s="231" t="s">
        <v>771</v>
      </c>
      <c r="J75" s="232"/>
      <c r="K75" s="233"/>
    </row>
    <row r="76" spans="1:11">
      <c r="A76" s="138"/>
      <c r="B76" s="167"/>
      <c r="C76" s="142" t="s">
        <v>1322</v>
      </c>
      <c r="D76" s="143"/>
      <c r="E76" s="140"/>
      <c r="F76" s="140"/>
      <c r="G76" s="140"/>
      <c r="H76" s="140"/>
      <c r="I76" s="140"/>
      <c r="J76" s="140"/>
      <c r="K76" s="165"/>
    </row>
    <row r="77" spans="1:11">
      <c r="A77" s="138"/>
      <c r="B77" s="161"/>
      <c r="C77" s="142"/>
      <c r="D77" s="143" t="s">
        <v>1322</v>
      </c>
      <c r="E77" s="234" t="s">
        <v>771</v>
      </c>
      <c r="F77" s="232"/>
      <c r="G77" s="231" t="s">
        <v>771</v>
      </c>
      <c r="H77" s="231" t="s">
        <v>771</v>
      </c>
      <c r="I77" s="231" t="s">
        <v>771</v>
      </c>
      <c r="J77" s="232"/>
      <c r="K77" s="233"/>
    </row>
    <row r="78" spans="1:11">
      <c r="A78" s="138"/>
      <c r="B78" s="155" t="s">
        <v>1323</v>
      </c>
      <c r="C78" s="156"/>
      <c r="D78" s="157"/>
      <c r="E78" s="158"/>
      <c r="F78" s="158"/>
      <c r="G78" s="158"/>
      <c r="H78" s="158"/>
      <c r="I78" s="158"/>
      <c r="J78" s="158"/>
      <c r="K78" s="159"/>
    </row>
    <row r="79" spans="1:11">
      <c r="A79" s="138"/>
      <c r="B79" s="30"/>
      <c r="C79" s="78"/>
      <c r="D79" s="166" t="s">
        <v>1324</v>
      </c>
      <c r="E79" s="234" t="s">
        <v>771</v>
      </c>
      <c r="F79" s="232"/>
      <c r="G79" s="231" t="s">
        <v>771</v>
      </c>
      <c r="H79" s="231" t="s">
        <v>771</v>
      </c>
      <c r="I79" s="231" t="s">
        <v>771</v>
      </c>
      <c r="J79" s="232"/>
      <c r="K79" s="233"/>
    </row>
    <row r="80" spans="1:11">
      <c r="B80" s="30"/>
      <c r="C80" s="78"/>
      <c r="D80" s="166" t="s">
        <v>1325</v>
      </c>
      <c r="E80" s="234" t="s">
        <v>771</v>
      </c>
      <c r="F80" s="232"/>
      <c r="G80" s="231" t="s">
        <v>771</v>
      </c>
      <c r="H80" s="231" t="s">
        <v>771</v>
      </c>
      <c r="I80" s="231" t="s">
        <v>771</v>
      </c>
      <c r="J80" s="232"/>
      <c r="K80" s="233"/>
    </row>
    <row r="81" spans="1:11">
      <c r="B81" s="155" t="s">
        <v>1326</v>
      </c>
      <c r="C81" s="156"/>
      <c r="D81" s="157"/>
      <c r="E81" s="158"/>
      <c r="F81" s="158"/>
      <c r="G81" s="158"/>
      <c r="H81" s="158"/>
      <c r="I81" s="158"/>
      <c r="J81" s="158"/>
      <c r="K81" s="159"/>
    </row>
    <row r="82" spans="1:11">
      <c r="A82" s="138"/>
      <c r="B82" s="167"/>
      <c r="C82" s="142" t="s">
        <v>1327</v>
      </c>
      <c r="D82" s="143"/>
      <c r="E82" s="140"/>
      <c r="F82" s="140"/>
      <c r="G82" s="140"/>
      <c r="H82" s="140"/>
      <c r="I82" s="140"/>
      <c r="J82" s="140"/>
      <c r="K82" s="165"/>
    </row>
    <row r="83" spans="1:11">
      <c r="A83" s="138"/>
      <c r="B83" s="167"/>
      <c r="C83" s="142"/>
      <c r="D83" s="143" t="s">
        <v>1328</v>
      </c>
      <c r="E83" s="234" t="s">
        <v>771</v>
      </c>
      <c r="F83" s="232"/>
      <c r="G83" s="231" t="s">
        <v>771</v>
      </c>
      <c r="H83" s="231" t="s">
        <v>771</v>
      </c>
      <c r="I83" s="231" t="s">
        <v>771</v>
      </c>
      <c r="J83" s="232"/>
      <c r="K83" s="233"/>
    </row>
    <row r="84" spans="1:11">
      <c r="A84" s="138"/>
      <c r="B84" s="167"/>
      <c r="C84" s="142"/>
      <c r="D84" s="143" t="s">
        <v>1329</v>
      </c>
      <c r="E84" s="234" t="s">
        <v>771</v>
      </c>
      <c r="F84" s="232"/>
      <c r="G84" s="231" t="s">
        <v>771</v>
      </c>
      <c r="H84" s="231" t="s">
        <v>771</v>
      </c>
      <c r="I84" s="231" t="s">
        <v>771</v>
      </c>
      <c r="J84" s="232"/>
      <c r="K84" s="233"/>
    </row>
    <row r="85" spans="1:11">
      <c r="A85" s="138"/>
      <c r="B85" s="167"/>
      <c r="C85" s="142"/>
      <c r="D85" s="143" t="s">
        <v>1277</v>
      </c>
      <c r="E85" s="234" t="s">
        <v>771</v>
      </c>
      <c r="F85" s="232"/>
      <c r="G85" s="231" t="s">
        <v>771</v>
      </c>
      <c r="H85" s="231" t="s">
        <v>771</v>
      </c>
      <c r="I85" s="231" t="s">
        <v>771</v>
      </c>
      <c r="J85" s="232"/>
      <c r="K85" s="233"/>
    </row>
    <row r="86" spans="1:11">
      <c r="A86" s="138"/>
      <c r="B86" s="167"/>
      <c r="C86" s="142"/>
      <c r="D86" s="143" t="s">
        <v>1330</v>
      </c>
      <c r="E86" s="234" t="s">
        <v>771</v>
      </c>
      <c r="F86" s="232"/>
      <c r="G86" s="231" t="s">
        <v>771</v>
      </c>
      <c r="H86" s="231" t="s">
        <v>771</v>
      </c>
      <c r="I86" s="231" t="s">
        <v>771</v>
      </c>
      <c r="J86" s="232"/>
      <c r="K86" s="233"/>
    </row>
    <row r="87" spans="1:11">
      <c r="A87" s="138"/>
      <c r="B87" s="167"/>
      <c r="C87" s="142"/>
      <c r="D87" s="143" t="s">
        <v>1278</v>
      </c>
      <c r="E87" s="234" t="s">
        <v>771</v>
      </c>
      <c r="F87" s="232"/>
      <c r="G87" s="231" t="s">
        <v>771</v>
      </c>
      <c r="H87" s="231" t="s">
        <v>771</v>
      </c>
      <c r="I87" s="231" t="s">
        <v>771</v>
      </c>
      <c r="J87" s="232"/>
      <c r="K87" s="233"/>
    </row>
    <row r="88" spans="1:11">
      <c r="A88" s="138"/>
      <c r="B88" s="167"/>
      <c r="C88" s="170"/>
      <c r="D88" s="166" t="s">
        <v>1331</v>
      </c>
      <c r="E88" s="234" t="s">
        <v>771</v>
      </c>
      <c r="F88" s="232"/>
      <c r="G88" s="231" t="s">
        <v>771</v>
      </c>
      <c r="H88" s="231" t="s">
        <v>771</v>
      </c>
      <c r="I88" s="231" t="s">
        <v>771</v>
      </c>
      <c r="J88" s="232"/>
      <c r="K88" s="233"/>
    </row>
    <row r="89" spans="1:11">
      <c r="A89" s="138"/>
      <c r="B89" s="167"/>
      <c r="C89" s="170"/>
      <c r="D89" s="166" t="s">
        <v>1142</v>
      </c>
      <c r="E89" s="234" t="s">
        <v>771</v>
      </c>
      <c r="F89" s="232"/>
      <c r="G89" s="231" t="s">
        <v>771</v>
      </c>
      <c r="H89" s="231" t="s">
        <v>771</v>
      </c>
      <c r="I89" s="231" t="s">
        <v>771</v>
      </c>
      <c r="J89" s="232"/>
      <c r="K89" s="233"/>
    </row>
    <row r="90" spans="1:11">
      <c r="A90" s="138"/>
      <c r="B90" s="167"/>
      <c r="C90" s="170" t="s">
        <v>1332</v>
      </c>
      <c r="D90" s="166"/>
      <c r="E90" s="140"/>
      <c r="F90" s="140"/>
      <c r="G90" s="140"/>
      <c r="H90" s="140"/>
      <c r="I90" s="140"/>
      <c r="J90" s="140"/>
      <c r="K90" s="165"/>
    </row>
    <row r="91" spans="1:11">
      <c r="A91" s="138"/>
      <c r="B91" s="167"/>
      <c r="C91" s="170"/>
      <c r="D91" s="143" t="s">
        <v>1328</v>
      </c>
      <c r="E91" s="234" t="s">
        <v>771</v>
      </c>
      <c r="F91" s="232"/>
      <c r="G91" s="231" t="s">
        <v>771</v>
      </c>
      <c r="H91" s="231" t="s">
        <v>771</v>
      </c>
      <c r="I91" s="231" t="s">
        <v>771</v>
      </c>
      <c r="J91" s="232"/>
      <c r="K91" s="233"/>
    </row>
    <row r="92" spans="1:11">
      <c r="A92" s="138"/>
      <c r="B92" s="167"/>
      <c r="C92" s="170"/>
      <c r="D92" s="143" t="s">
        <v>1329</v>
      </c>
      <c r="E92" s="234" t="s">
        <v>771</v>
      </c>
      <c r="F92" s="232"/>
      <c r="G92" s="231" t="s">
        <v>771</v>
      </c>
      <c r="H92" s="231" t="s">
        <v>771</v>
      </c>
      <c r="I92" s="231" t="s">
        <v>771</v>
      </c>
      <c r="J92" s="232"/>
      <c r="K92" s="233"/>
    </row>
    <row r="93" spans="1:11">
      <c r="A93" s="138"/>
      <c r="B93" s="167"/>
      <c r="C93" s="170"/>
      <c r="D93" s="143" t="s">
        <v>1277</v>
      </c>
      <c r="E93" s="234" t="s">
        <v>771</v>
      </c>
      <c r="F93" s="232"/>
      <c r="G93" s="231" t="s">
        <v>771</v>
      </c>
      <c r="H93" s="231" t="s">
        <v>771</v>
      </c>
      <c r="I93" s="231" t="s">
        <v>771</v>
      </c>
      <c r="J93" s="232"/>
      <c r="K93" s="233"/>
    </row>
    <row r="94" spans="1:11">
      <c r="A94" s="138"/>
      <c r="B94" s="167"/>
      <c r="C94" s="170"/>
      <c r="D94" s="143" t="s">
        <v>1330</v>
      </c>
      <c r="E94" s="234" t="s">
        <v>771</v>
      </c>
      <c r="F94" s="232"/>
      <c r="G94" s="231" t="s">
        <v>771</v>
      </c>
      <c r="H94" s="231" t="s">
        <v>771</v>
      </c>
      <c r="I94" s="231" t="s">
        <v>771</v>
      </c>
      <c r="J94" s="232"/>
      <c r="K94" s="233"/>
    </row>
    <row r="95" spans="1:11">
      <c r="A95" s="138"/>
      <c r="B95" s="167"/>
      <c r="C95" s="170"/>
      <c r="D95" s="143" t="s">
        <v>1278</v>
      </c>
      <c r="E95" s="234" t="s">
        <v>771</v>
      </c>
      <c r="F95" s="232"/>
      <c r="G95" s="231" t="s">
        <v>771</v>
      </c>
      <c r="H95" s="231" t="s">
        <v>771</v>
      </c>
      <c r="I95" s="231" t="s">
        <v>771</v>
      </c>
      <c r="J95" s="232"/>
      <c r="K95" s="233"/>
    </row>
    <row r="96" spans="1:11">
      <c r="A96" s="138"/>
      <c r="B96" s="167"/>
      <c r="C96" s="170"/>
      <c r="D96" s="166" t="s">
        <v>1331</v>
      </c>
      <c r="E96" s="234" t="s">
        <v>771</v>
      </c>
      <c r="F96" s="232"/>
      <c r="G96" s="231" t="s">
        <v>771</v>
      </c>
      <c r="H96" s="231" t="s">
        <v>771</v>
      </c>
      <c r="I96" s="231" t="s">
        <v>771</v>
      </c>
      <c r="J96" s="232"/>
      <c r="K96" s="233"/>
    </row>
    <row r="97" spans="1:11">
      <c r="A97" s="138"/>
      <c r="B97" s="167"/>
      <c r="C97" s="170"/>
      <c r="D97" s="166" t="s">
        <v>1142</v>
      </c>
      <c r="E97" s="234" t="s">
        <v>771</v>
      </c>
      <c r="F97" s="232"/>
      <c r="G97" s="231" t="s">
        <v>771</v>
      </c>
      <c r="H97" s="231" t="s">
        <v>771</v>
      </c>
      <c r="I97" s="231" t="s">
        <v>771</v>
      </c>
      <c r="J97" s="232"/>
      <c r="K97" s="233"/>
    </row>
    <row r="98" spans="1:11">
      <c r="A98" s="138"/>
      <c r="B98" s="171" t="s">
        <v>1333</v>
      </c>
      <c r="C98" s="156"/>
      <c r="D98" s="157"/>
      <c r="E98" s="158"/>
      <c r="F98" s="158"/>
      <c r="G98" s="158"/>
      <c r="H98" s="158"/>
      <c r="I98" s="158"/>
      <c r="J98" s="158"/>
      <c r="K98" s="159"/>
    </row>
    <row r="99" spans="1:11">
      <c r="A99" s="138"/>
      <c r="B99" s="167"/>
      <c r="C99" s="170"/>
      <c r="D99" s="166" t="s">
        <v>1334</v>
      </c>
      <c r="E99" s="234" t="s">
        <v>771</v>
      </c>
      <c r="F99" s="232"/>
      <c r="G99" s="231" t="s">
        <v>771</v>
      </c>
      <c r="H99" s="231" t="s">
        <v>771</v>
      </c>
      <c r="I99" s="231" t="s">
        <v>771</v>
      </c>
      <c r="J99" s="232"/>
      <c r="K99" s="233"/>
    </row>
    <row r="100" spans="1:11">
      <c r="A100" s="138"/>
      <c r="B100" s="167"/>
      <c r="C100" s="170"/>
      <c r="D100" s="166" t="s">
        <v>1335</v>
      </c>
      <c r="E100" s="234" t="s">
        <v>771</v>
      </c>
      <c r="F100" s="232"/>
      <c r="G100" s="231" t="s">
        <v>771</v>
      </c>
      <c r="H100" s="231" t="s">
        <v>771</v>
      </c>
      <c r="I100" s="231" t="s">
        <v>771</v>
      </c>
      <c r="J100" s="232"/>
      <c r="K100" s="233"/>
    </row>
    <row r="101" spans="1:11">
      <c r="A101" s="138"/>
      <c r="B101" s="167"/>
      <c r="C101" s="142"/>
      <c r="D101" s="143" t="s">
        <v>1336</v>
      </c>
      <c r="E101" s="234" t="s">
        <v>771</v>
      </c>
      <c r="F101" s="232"/>
      <c r="G101" s="231" t="s">
        <v>771</v>
      </c>
      <c r="H101" s="231" t="s">
        <v>771</v>
      </c>
      <c r="I101" s="231" t="s">
        <v>771</v>
      </c>
      <c r="J101" s="232"/>
      <c r="K101" s="233"/>
    </row>
    <row r="102" spans="1:11" ht="15.75" thickBot="1">
      <c r="A102" s="138"/>
      <c r="B102" s="172"/>
      <c r="C102" s="173"/>
      <c r="D102" s="174" t="s">
        <v>1337</v>
      </c>
      <c r="E102" s="235" t="s">
        <v>771</v>
      </c>
      <c r="F102" s="236"/>
      <c r="G102" s="237" t="s">
        <v>771</v>
      </c>
      <c r="H102" s="237" t="s">
        <v>771</v>
      </c>
      <c r="I102" s="237" t="s">
        <v>771</v>
      </c>
      <c r="J102" s="236"/>
      <c r="K102" s="238"/>
    </row>
    <row r="103" spans="1:11">
      <c r="A103" s="138"/>
      <c r="B103" s="92"/>
      <c r="C103" s="142"/>
      <c r="D103" s="143"/>
      <c r="E103" s="140"/>
      <c r="F103" s="140"/>
      <c r="G103" s="140"/>
      <c r="H103" s="140"/>
      <c r="I103" s="140"/>
      <c r="J103" s="140"/>
      <c r="K103" s="140"/>
    </row>
    <row r="104" spans="1:11">
      <c r="A104" s="138"/>
      <c r="B104" s="92"/>
      <c r="C104" s="142"/>
      <c r="D104" s="143"/>
      <c r="E104" s="140"/>
      <c r="F104" s="140"/>
      <c r="G104" s="140"/>
      <c r="H104" s="140"/>
      <c r="I104" s="140"/>
      <c r="J104" s="140"/>
      <c r="K104" s="140"/>
    </row>
    <row r="105" spans="1:11">
      <c r="A105" s="138"/>
      <c r="B105" s="92"/>
      <c r="C105" s="142"/>
      <c r="D105" s="143"/>
      <c r="E105" s="140"/>
      <c r="F105" s="140"/>
      <c r="G105" s="140"/>
      <c r="H105" s="140"/>
      <c r="I105" s="140"/>
      <c r="J105" s="140"/>
      <c r="K105" s="140"/>
    </row>
    <row r="106" spans="1:11">
      <c r="A106" s="138"/>
      <c r="B106" s="92"/>
      <c r="C106" s="142"/>
      <c r="D106" s="143"/>
      <c r="E106" s="140"/>
      <c r="F106" s="140"/>
      <c r="G106" s="140"/>
      <c r="H106" s="140"/>
      <c r="I106" s="140"/>
      <c r="J106" s="140"/>
      <c r="K106" s="140"/>
    </row>
    <row r="107" spans="1:11">
      <c r="A107" s="138"/>
      <c r="B107" s="92"/>
      <c r="C107" s="142"/>
      <c r="D107" s="143"/>
      <c r="E107" s="140"/>
      <c r="F107" s="140"/>
      <c r="G107" s="140"/>
      <c r="H107" s="140"/>
      <c r="I107" s="140"/>
      <c r="J107" s="140"/>
      <c r="K107" s="140"/>
    </row>
    <row r="108" spans="1:11">
      <c r="A108" s="138"/>
      <c r="B108" s="92"/>
      <c r="C108" s="142"/>
      <c r="D108" s="143"/>
      <c r="E108" s="140"/>
      <c r="F108" s="140"/>
      <c r="G108" s="140"/>
      <c r="H108" s="140"/>
      <c r="I108" s="140"/>
      <c r="J108" s="140"/>
      <c r="K108" s="140"/>
    </row>
    <row r="109" spans="1:11">
      <c r="A109" s="138"/>
      <c r="B109" s="92"/>
      <c r="C109" s="142"/>
      <c r="D109" s="143"/>
      <c r="E109" s="140"/>
      <c r="F109" s="140"/>
      <c r="G109" s="140"/>
      <c r="H109" s="140"/>
      <c r="I109" s="140"/>
      <c r="J109" s="140"/>
      <c r="K109" s="140"/>
    </row>
    <row r="110" spans="1:11">
      <c r="A110" s="138"/>
      <c r="B110" s="92"/>
      <c r="C110" s="142"/>
      <c r="D110" s="143"/>
      <c r="E110" s="140"/>
      <c r="F110" s="140"/>
      <c r="G110" s="140"/>
      <c r="H110" s="140"/>
      <c r="I110" s="140"/>
      <c r="J110" s="140"/>
      <c r="K110" s="140"/>
    </row>
    <row r="111" spans="1:11">
      <c r="A111" s="138"/>
      <c r="B111" s="92"/>
      <c r="C111" s="142"/>
      <c r="D111" s="143"/>
      <c r="E111" s="140"/>
      <c r="F111" s="140"/>
      <c r="G111" s="140"/>
      <c r="H111" s="140"/>
      <c r="I111" s="140"/>
      <c r="J111" s="140"/>
      <c r="K111" s="140"/>
    </row>
    <row r="112" spans="1:11">
      <c r="A112" s="138"/>
      <c r="B112" s="92"/>
      <c r="C112" s="142"/>
      <c r="D112" s="143"/>
      <c r="E112" s="140"/>
      <c r="F112" s="140"/>
      <c r="G112" s="140"/>
      <c r="H112" s="140"/>
      <c r="I112" s="140"/>
      <c r="J112" s="140"/>
      <c r="K112" s="140"/>
    </row>
    <row r="113" spans="1:11">
      <c r="A113" s="138"/>
      <c r="B113" s="92"/>
      <c r="C113" s="142"/>
      <c r="D113" s="143"/>
      <c r="E113" s="140"/>
      <c r="F113" s="140"/>
      <c r="G113" s="140"/>
      <c r="H113" s="140"/>
      <c r="I113" s="140"/>
      <c r="J113" s="140"/>
      <c r="K113" s="140"/>
    </row>
    <row r="114" spans="1:11">
      <c r="A114" s="138"/>
      <c r="B114" s="92"/>
      <c r="C114" s="142"/>
      <c r="D114" s="143"/>
      <c r="E114" s="140"/>
      <c r="F114" s="140"/>
      <c r="G114" s="140"/>
      <c r="H114" s="140"/>
      <c r="I114" s="140"/>
      <c r="J114" s="140"/>
      <c r="K114" s="140"/>
    </row>
    <row r="115" spans="1:11">
      <c r="A115" s="138"/>
      <c r="B115" s="138"/>
      <c r="C115" s="144"/>
      <c r="D115" s="143"/>
      <c r="E115" s="140"/>
      <c r="F115" s="140"/>
      <c r="G115" s="140"/>
      <c r="H115" s="140"/>
      <c r="I115" s="140"/>
      <c r="J115" s="140"/>
      <c r="K115" s="140"/>
    </row>
    <row r="116" spans="1:11">
      <c r="A116" s="138"/>
      <c r="B116" s="138"/>
      <c r="C116" s="144"/>
      <c r="D116" s="143"/>
      <c r="E116" s="140"/>
      <c r="F116" s="140"/>
      <c r="G116" s="140"/>
      <c r="H116" s="140"/>
      <c r="I116" s="140"/>
      <c r="J116" s="140"/>
      <c r="K116" s="140"/>
    </row>
    <row r="117" spans="1:11">
      <c r="A117" s="138"/>
      <c r="B117" s="138"/>
      <c r="C117" s="144"/>
      <c r="D117" s="143"/>
      <c r="E117" s="140"/>
      <c r="F117" s="140"/>
      <c r="G117" s="140"/>
      <c r="H117" s="140"/>
      <c r="I117" s="140"/>
      <c r="J117" s="140"/>
      <c r="K117" s="140"/>
    </row>
    <row r="118" spans="1:11">
      <c r="A118" s="138"/>
      <c r="B118" s="138"/>
      <c r="C118" s="144"/>
      <c r="D118" s="143"/>
      <c r="E118" s="140"/>
      <c r="F118" s="140"/>
      <c r="G118" s="140"/>
      <c r="H118" s="140"/>
      <c r="I118" s="140"/>
      <c r="J118" s="140"/>
      <c r="K118" s="140"/>
    </row>
    <row r="119" spans="1:11">
      <c r="A119" s="138"/>
      <c r="B119" s="138"/>
      <c r="C119" s="144"/>
      <c r="D119" s="143"/>
      <c r="E119" s="140"/>
      <c r="F119" s="140"/>
      <c r="G119" s="140"/>
      <c r="H119" s="140"/>
      <c r="I119" s="140"/>
      <c r="J119" s="140"/>
      <c r="K119" s="140"/>
    </row>
    <row r="120" spans="1:11">
      <c r="A120" s="138"/>
      <c r="B120" s="138"/>
      <c r="C120" s="144"/>
      <c r="D120" s="143"/>
      <c r="E120" s="140"/>
      <c r="F120" s="140"/>
      <c r="G120" s="140"/>
      <c r="H120" s="140"/>
      <c r="I120" s="140"/>
      <c r="J120" s="140"/>
      <c r="K120" s="140"/>
    </row>
    <row r="121" spans="1:11">
      <c r="A121" s="138"/>
      <c r="B121" s="138"/>
      <c r="C121" s="144"/>
      <c r="D121" s="143"/>
      <c r="E121" s="140"/>
      <c r="F121" s="140"/>
      <c r="G121" s="140"/>
      <c r="H121" s="140"/>
      <c r="I121" s="140"/>
      <c r="J121" s="140"/>
      <c r="K121" s="140"/>
    </row>
    <row r="122" spans="1:11">
      <c r="A122" s="138"/>
      <c r="B122" s="138"/>
      <c r="C122" s="144"/>
      <c r="D122" s="143"/>
      <c r="E122" s="140"/>
      <c r="F122" s="140"/>
      <c r="G122" s="140"/>
      <c r="H122" s="140"/>
      <c r="I122" s="140"/>
      <c r="J122" s="140"/>
      <c r="K122" s="140"/>
    </row>
    <row r="123" spans="1:11">
      <c r="A123" s="138"/>
      <c r="B123" s="138"/>
      <c r="C123" s="144"/>
      <c r="D123" s="143"/>
      <c r="E123" s="140"/>
      <c r="F123" s="140"/>
      <c r="G123" s="140"/>
      <c r="H123" s="140"/>
      <c r="I123" s="140"/>
      <c r="J123" s="140"/>
      <c r="K123" s="140"/>
    </row>
    <row r="124" spans="1:11">
      <c r="A124" s="138"/>
      <c r="B124" s="138"/>
      <c r="C124" s="144"/>
      <c r="D124" s="143"/>
      <c r="E124" s="140"/>
      <c r="F124" s="140"/>
      <c r="G124" s="140"/>
      <c r="H124" s="140"/>
      <c r="I124" s="140"/>
      <c r="J124" s="140"/>
      <c r="K124" s="140"/>
    </row>
    <row r="125" spans="1:11">
      <c r="A125" s="138"/>
      <c r="B125" s="138"/>
      <c r="C125" s="144"/>
      <c r="D125" s="143"/>
      <c r="E125" s="140"/>
      <c r="F125" s="140"/>
      <c r="G125" s="140"/>
      <c r="H125" s="140"/>
      <c r="I125" s="140"/>
      <c r="J125" s="140"/>
      <c r="K125" s="140"/>
    </row>
    <row r="126" spans="1:11">
      <c r="A126" s="138"/>
      <c r="B126" s="138"/>
      <c r="C126" s="144"/>
      <c r="D126" s="143"/>
      <c r="E126" s="140"/>
      <c r="F126" s="140"/>
      <c r="G126" s="140"/>
      <c r="H126" s="140"/>
      <c r="I126" s="140"/>
      <c r="J126" s="140"/>
      <c r="K126" s="140"/>
    </row>
    <row r="127" spans="1:11">
      <c r="A127" s="138"/>
      <c r="B127" s="138"/>
      <c r="C127" s="144"/>
      <c r="D127" s="143"/>
      <c r="E127" s="140"/>
      <c r="F127" s="140"/>
      <c r="G127" s="140"/>
      <c r="H127" s="140"/>
      <c r="I127" s="140"/>
      <c r="J127" s="140"/>
      <c r="K127" s="140"/>
    </row>
    <row r="128" spans="1:11">
      <c r="A128" s="138"/>
      <c r="B128" s="138"/>
      <c r="C128" s="144"/>
      <c r="D128" s="143"/>
      <c r="E128" s="140"/>
      <c r="F128" s="140"/>
      <c r="G128" s="140"/>
      <c r="H128" s="140"/>
      <c r="I128" s="140"/>
      <c r="J128" s="140"/>
      <c r="K128" s="140"/>
    </row>
    <row r="129" spans="1:11">
      <c r="A129" s="138"/>
      <c r="B129" s="138"/>
      <c r="C129" s="144"/>
      <c r="D129" s="143"/>
      <c r="E129" s="140"/>
      <c r="F129" s="140"/>
      <c r="G129" s="140"/>
      <c r="H129" s="140"/>
      <c r="I129" s="140"/>
      <c r="J129" s="140"/>
      <c r="K129" s="140"/>
    </row>
    <row r="130" spans="1:11">
      <c r="A130" s="138"/>
      <c r="B130" s="138"/>
      <c r="C130" s="144"/>
      <c r="D130" s="143"/>
      <c r="E130" s="140"/>
      <c r="F130" s="140"/>
      <c r="G130" s="140"/>
      <c r="H130" s="140"/>
      <c r="I130" s="140"/>
      <c r="J130" s="140"/>
      <c r="K130" s="140"/>
    </row>
    <row r="131" spans="1:11">
      <c r="A131" s="138"/>
      <c r="B131" s="138"/>
      <c r="C131" s="144"/>
      <c r="D131" s="143"/>
      <c r="E131" s="140"/>
      <c r="F131" s="140"/>
      <c r="G131" s="140"/>
      <c r="H131" s="140"/>
      <c r="I131" s="140"/>
      <c r="J131" s="140"/>
      <c r="K131" s="140"/>
    </row>
    <row r="132" spans="1:11">
      <c r="A132" s="138"/>
      <c r="B132" s="138"/>
      <c r="C132" s="144"/>
      <c r="D132" s="143"/>
      <c r="E132" s="140"/>
      <c r="F132" s="140"/>
      <c r="G132" s="140"/>
      <c r="H132" s="140"/>
      <c r="I132" s="140"/>
      <c r="J132" s="140"/>
      <c r="K132" s="140"/>
    </row>
    <row r="133" spans="1:11">
      <c r="A133" s="138"/>
      <c r="B133" s="138"/>
      <c r="C133" s="144"/>
      <c r="D133" s="143"/>
      <c r="E133" s="140"/>
      <c r="F133" s="140"/>
      <c r="G133" s="140"/>
      <c r="H133" s="140"/>
      <c r="I133" s="140"/>
      <c r="J133" s="140"/>
      <c r="K133" s="140"/>
    </row>
    <row r="134" spans="1:11">
      <c r="A134" s="138"/>
      <c r="B134" s="138"/>
      <c r="C134" s="144"/>
      <c r="D134" s="143"/>
      <c r="E134" s="140"/>
      <c r="F134" s="140"/>
      <c r="G134" s="140"/>
      <c r="H134" s="140"/>
      <c r="I134" s="140"/>
      <c r="J134" s="140"/>
      <c r="K134" s="140"/>
    </row>
    <row r="135" spans="1:11">
      <c r="A135" s="138"/>
      <c r="B135" s="138"/>
      <c r="C135" s="144"/>
      <c r="D135" s="143"/>
      <c r="E135" s="140"/>
      <c r="F135" s="140"/>
      <c r="G135" s="140"/>
      <c r="H135" s="140"/>
      <c r="I135" s="140"/>
      <c r="J135" s="140"/>
      <c r="K135" s="140"/>
    </row>
    <row r="136" spans="1:11">
      <c r="A136" s="138"/>
      <c r="B136" s="138"/>
      <c r="C136" s="144"/>
      <c r="D136" s="143"/>
      <c r="E136" s="140"/>
      <c r="F136" s="140"/>
      <c r="G136" s="140"/>
      <c r="H136" s="140"/>
      <c r="I136" s="140"/>
      <c r="J136" s="140"/>
      <c r="K136" s="140"/>
    </row>
    <row r="137" spans="1:11">
      <c r="A137" s="138"/>
      <c r="B137" s="138"/>
      <c r="C137" s="144"/>
      <c r="D137" s="143"/>
      <c r="E137" s="140"/>
      <c r="F137" s="140"/>
      <c r="G137" s="140"/>
      <c r="H137" s="140"/>
      <c r="I137" s="140"/>
      <c r="J137" s="140"/>
      <c r="K137" s="140"/>
    </row>
    <row r="138" spans="1:11">
      <c r="A138" s="138"/>
      <c r="B138" s="138"/>
      <c r="C138" s="144"/>
      <c r="D138" s="143"/>
      <c r="E138" s="140"/>
      <c r="F138" s="140"/>
      <c r="G138" s="140"/>
      <c r="H138" s="140"/>
      <c r="I138" s="140"/>
      <c r="J138" s="140"/>
      <c r="K138" s="140"/>
    </row>
    <row r="139" spans="1:11">
      <c r="A139" s="138"/>
      <c r="B139" s="138"/>
      <c r="C139" s="144"/>
      <c r="D139" s="143"/>
      <c r="E139" s="140"/>
      <c r="F139" s="140"/>
      <c r="G139" s="140"/>
      <c r="H139" s="140"/>
      <c r="I139" s="140"/>
      <c r="J139" s="140"/>
      <c r="K139" s="140"/>
    </row>
    <row r="140" spans="1:11">
      <c r="A140" s="138"/>
      <c r="B140" s="138"/>
      <c r="C140" s="144"/>
      <c r="D140" s="143"/>
      <c r="E140" s="140"/>
      <c r="F140" s="140"/>
      <c r="G140" s="140"/>
      <c r="H140" s="140"/>
      <c r="I140" s="140"/>
      <c r="J140" s="140"/>
      <c r="K140" s="140"/>
    </row>
    <row r="141" spans="1:11">
      <c r="A141" s="138"/>
      <c r="B141" s="138"/>
      <c r="C141" s="144"/>
      <c r="D141" s="143"/>
      <c r="E141" s="140"/>
      <c r="F141" s="140"/>
      <c r="G141" s="140"/>
      <c r="H141" s="140"/>
      <c r="I141" s="140"/>
      <c r="J141" s="140"/>
      <c r="K141" s="140"/>
    </row>
    <row r="142" spans="1:11">
      <c r="A142" s="138"/>
      <c r="B142" s="138"/>
      <c r="C142" s="144"/>
      <c r="D142" s="143"/>
      <c r="E142" s="140"/>
      <c r="F142" s="140"/>
      <c r="G142" s="140"/>
      <c r="H142" s="140"/>
      <c r="I142" s="140"/>
      <c r="J142" s="140"/>
      <c r="K142" s="140"/>
    </row>
    <row r="143" spans="1:11">
      <c r="A143" s="138"/>
      <c r="B143" s="138"/>
      <c r="C143" s="144"/>
      <c r="D143" s="143"/>
      <c r="E143" s="140"/>
      <c r="F143" s="140"/>
      <c r="G143" s="140"/>
      <c r="H143" s="140"/>
      <c r="I143" s="140"/>
      <c r="J143" s="140"/>
      <c r="K143" s="140"/>
    </row>
    <row r="144" spans="1:11">
      <c r="A144" s="138"/>
      <c r="B144" s="138"/>
      <c r="C144" s="144"/>
      <c r="D144" s="143"/>
      <c r="E144" s="140"/>
      <c r="F144" s="140"/>
      <c r="G144" s="140"/>
      <c r="H144" s="140"/>
      <c r="I144" s="140"/>
      <c r="J144" s="140"/>
      <c r="K144" s="140"/>
    </row>
    <row r="145" spans="1:11">
      <c r="A145" s="138"/>
      <c r="B145" s="138"/>
      <c r="C145" s="144"/>
      <c r="D145" s="143"/>
      <c r="E145" s="140"/>
      <c r="F145" s="140"/>
      <c r="G145" s="140"/>
      <c r="H145" s="140"/>
      <c r="I145" s="140"/>
      <c r="J145" s="140"/>
      <c r="K145" s="140"/>
    </row>
    <row r="146" spans="1:11">
      <c r="A146" s="138"/>
      <c r="B146" s="138"/>
      <c r="C146" s="144"/>
      <c r="D146" s="143"/>
      <c r="E146" s="140"/>
      <c r="F146" s="140"/>
      <c r="G146" s="140"/>
      <c r="H146" s="140"/>
      <c r="I146" s="140"/>
      <c r="J146" s="140"/>
      <c r="K146" s="140"/>
    </row>
    <row r="147" spans="1:11">
      <c r="A147" s="138"/>
      <c r="B147" s="138"/>
      <c r="C147" s="144"/>
      <c r="D147" s="143"/>
      <c r="E147" s="140"/>
      <c r="F147" s="140"/>
      <c r="G147" s="140"/>
      <c r="H147" s="140"/>
      <c r="I147" s="140"/>
      <c r="J147" s="140"/>
      <c r="K147" s="140"/>
    </row>
    <row r="148" spans="1:11">
      <c r="A148" s="138"/>
      <c r="B148" s="138"/>
      <c r="C148" s="144"/>
      <c r="D148" s="143"/>
      <c r="E148" s="140"/>
      <c r="F148" s="140"/>
      <c r="G148" s="140"/>
      <c r="H148" s="140"/>
      <c r="I148" s="140"/>
      <c r="J148" s="140"/>
      <c r="K148" s="140"/>
    </row>
    <row r="149" spans="1:11">
      <c r="A149" s="138"/>
      <c r="B149" s="138"/>
      <c r="C149" s="144"/>
      <c r="D149" s="143"/>
      <c r="E149" s="140"/>
      <c r="F149" s="140"/>
      <c r="G149" s="140"/>
      <c r="H149" s="140"/>
      <c r="I149" s="140"/>
      <c r="J149" s="140"/>
      <c r="K149" s="140"/>
    </row>
    <row r="150" spans="1:11">
      <c r="A150" s="138"/>
      <c r="B150" s="138"/>
      <c r="C150" s="144"/>
      <c r="D150" s="143"/>
      <c r="E150" s="140"/>
      <c r="F150" s="140"/>
      <c r="G150" s="140"/>
      <c r="H150" s="140"/>
      <c r="I150" s="140"/>
      <c r="J150" s="140"/>
      <c r="K150" s="140"/>
    </row>
    <row r="151" spans="1:11">
      <c r="A151" s="138"/>
      <c r="B151" s="138"/>
      <c r="C151" s="144"/>
      <c r="D151" s="143"/>
      <c r="E151" s="140"/>
      <c r="F151" s="140"/>
      <c r="G151" s="140"/>
      <c r="H151" s="140"/>
      <c r="I151" s="140"/>
      <c r="J151" s="140"/>
      <c r="K151" s="140"/>
    </row>
    <row r="152" spans="1:11">
      <c r="A152" s="138"/>
      <c r="B152" s="138"/>
      <c r="C152" s="144"/>
      <c r="D152" s="143"/>
      <c r="E152" s="140"/>
      <c r="F152" s="140"/>
      <c r="G152" s="140"/>
      <c r="H152" s="140"/>
      <c r="I152" s="140"/>
      <c r="J152" s="140"/>
      <c r="K152" s="140"/>
    </row>
    <row r="153" spans="1:11">
      <c r="A153" s="138"/>
      <c r="B153" s="138"/>
      <c r="C153" s="144"/>
      <c r="D153" s="143"/>
      <c r="E153" s="140"/>
      <c r="F153" s="140"/>
      <c r="G153" s="140"/>
      <c r="H153" s="140"/>
      <c r="I153" s="140"/>
      <c r="J153" s="140"/>
      <c r="K153" s="140"/>
    </row>
    <row r="154" spans="1:11">
      <c r="A154" s="138"/>
      <c r="B154" s="138"/>
      <c r="C154" s="144"/>
      <c r="D154" s="143"/>
      <c r="E154" s="140"/>
      <c r="F154" s="140"/>
      <c r="G154" s="140"/>
      <c r="H154" s="140"/>
      <c r="I154" s="140"/>
      <c r="J154" s="140"/>
      <c r="K154" s="140"/>
    </row>
    <row r="155" spans="1:11">
      <c r="A155" s="138"/>
      <c r="B155" s="138"/>
      <c r="C155" s="144"/>
      <c r="D155" s="143"/>
      <c r="E155" s="140"/>
      <c r="F155" s="140"/>
      <c r="G155" s="140"/>
      <c r="H155" s="140"/>
      <c r="I155" s="140"/>
      <c r="J155" s="140"/>
      <c r="K155" s="140"/>
    </row>
    <row r="156" spans="1:11">
      <c r="A156" s="138"/>
      <c r="B156" s="138"/>
      <c r="C156" s="144"/>
      <c r="D156" s="143"/>
      <c r="E156" s="140"/>
      <c r="F156" s="140"/>
      <c r="G156" s="140"/>
      <c r="H156" s="140"/>
      <c r="I156" s="140"/>
      <c r="J156" s="140"/>
      <c r="K156" s="140"/>
    </row>
    <row r="157" spans="1:11">
      <c r="A157" s="138"/>
      <c r="B157" s="138"/>
      <c r="C157" s="144"/>
      <c r="D157" s="143"/>
      <c r="E157" s="140"/>
      <c r="F157" s="140"/>
      <c r="G157" s="140"/>
      <c r="H157" s="140"/>
      <c r="I157" s="140"/>
      <c r="J157" s="140"/>
      <c r="K157" s="140"/>
    </row>
    <row r="158" spans="1:11">
      <c r="A158" s="138"/>
      <c r="B158" s="138"/>
      <c r="C158" s="144"/>
      <c r="D158" s="143"/>
      <c r="E158" s="140"/>
      <c r="F158" s="140"/>
      <c r="G158" s="140"/>
      <c r="H158" s="140"/>
      <c r="I158" s="140"/>
      <c r="J158" s="140"/>
      <c r="K158" s="140"/>
    </row>
    <row r="159" spans="1:11">
      <c r="A159" s="138"/>
      <c r="B159" s="138"/>
      <c r="C159" s="144"/>
      <c r="D159" s="143"/>
      <c r="E159" s="140"/>
      <c r="F159" s="140"/>
      <c r="G159" s="140"/>
      <c r="H159" s="140"/>
      <c r="I159" s="140"/>
      <c r="J159" s="140"/>
      <c r="K159" s="140"/>
    </row>
    <row r="160" spans="1:11">
      <c r="A160" s="138"/>
      <c r="B160" s="138"/>
      <c r="C160" s="144"/>
      <c r="D160" s="143"/>
      <c r="E160" s="140"/>
      <c r="F160" s="140"/>
      <c r="G160" s="140"/>
      <c r="H160" s="140"/>
      <c r="I160" s="140"/>
      <c r="J160" s="140"/>
      <c r="K160" s="140"/>
    </row>
    <row r="161" spans="1:11">
      <c r="A161" s="138"/>
      <c r="B161" s="138"/>
      <c r="C161" s="144"/>
      <c r="D161" s="143"/>
      <c r="E161" s="140"/>
      <c r="F161" s="140"/>
      <c r="G161" s="140"/>
      <c r="H161" s="140"/>
      <c r="I161" s="140"/>
      <c r="J161" s="140"/>
      <c r="K161" s="140"/>
    </row>
    <row r="162" spans="1:11">
      <c r="A162" s="138"/>
      <c r="B162" s="138"/>
      <c r="C162" s="144"/>
      <c r="D162" s="143"/>
      <c r="E162" s="140"/>
      <c r="F162" s="140"/>
      <c r="G162" s="140"/>
      <c r="H162" s="140"/>
      <c r="I162" s="140"/>
      <c r="J162" s="140"/>
      <c r="K162" s="140"/>
    </row>
    <row r="163" spans="1:11">
      <c r="A163" s="138"/>
      <c r="B163" s="138"/>
      <c r="C163" s="144"/>
      <c r="D163" s="143"/>
      <c r="E163" s="140"/>
      <c r="F163" s="140"/>
      <c r="G163" s="140"/>
      <c r="H163" s="140"/>
      <c r="I163" s="140"/>
      <c r="J163" s="140"/>
      <c r="K163" s="140"/>
    </row>
    <row r="164" spans="1:11">
      <c r="A164" s="138"/>
      <c r="B164" s="138"/>
      <c r="C164" s="144"/>
      <c r="D164" s="143"/>
      <c r="E164" s="140"/>
      <c r="F164" s="140"/>
      <c r="G164" s="140"/>
      <c r="H164" s="140"/>
      <c r="I164" s="140"/>
      <c r="J164" s="140"/>
      <c r="K164" s="140"/>
    </row>
    <row r="165" spans="1:11">
      <c r="A165" s="138"/>
      <c r="B165" s="138"/>
      <c r="C165" s="144"/>
      <c r="D165" s="143"/>
      <c r="E165" s="140"/>
      <c r="F165" s="140"/>
      <c r="G165" s="140"/>
      <c r="H165" s="140"/>
      <c r="I165" s="140"/>
      <c r="J165" s="140"/>
      <c r="K165" s="140"/>
    </row>
    <row r="166" spans="1:11">
      <c r="A166" s="138"/>
      <c r="B166" s="138"/>
      <c r="C166" s="144"/>
      <c r="D166" s="143"/>
      <c r="E166" s="140"/>
      <c r="F166" s="140"/>
      <c r="G166" s="140"/>
      <c r="H166" s="140"/>
      <c r="I166" s="140"/>
      <c r="J166" s="140"/>
      <c r="K166" s="140"/>
    </row>
    <row r="167" spans="1:11">
      <c r="A167" s="138"/>
      <c r="B167" s="138"/>
      <c r="C167" s="144"/>
      <c r="D167" s="143"/>
      <c r="E167" s="140"/>
      <c r="F167" s="140"/>
      <c r="G167" s="140"/>
      <c r="H167" s="140"/>
      <c r="I167" s="140"/>
      <c r="J167" s="140"/>
      <c r="K167" s="140"/>
    </row>
    <row r="168" spans="1:11">
      <c r="A168" s="138"/>
      <c r="B168" s="138"/>
      <c r="C168" s="144"/>
      <c r="D168" s="143"/>
      <c r="E168" s="140"/>
      <c r="F168" s="140"/>
      <c r="G168" s="140"/>
      <c r="H168" s="140"/>
      <c r="I168" s="140"/>
      <c r="J168" s="140"/>
      <c r="K168" s="140"/>
    </row>
    <row r="169" spans="1:11">
      <c r="A169" s="138"/>
      <c r="B169" s="138"/>
      <c r="C169" s="144"/>
      <c r="D169" s="143"/>
      <c r="E169" s="140"/>
      <c r="F169" s="140"/>
      <c r="G169" s="140"/>
      <c r="H169" s="140"/>
      <c r="I169" s="140"/>
      <c r="J169" s="140"/>
      <c r="K169" s="140"/>
    </row>
    <row r="170" spans="1:11">
      <c r="A170" s="138"/>
      <c r="B170" s="138"/>
      <c r="C170" s="144"/>
      <c r="D170" s="143"/>
      <c r="E170" s="140"/>
      <c r="F170" s="140"/>
      <c r="G170" s="140"/>
      <c r="H170" s="140"/>
      <c r="I170" s="140"/>
      <c r="J170" s="140"/>
      <c r="K170" s="140"/>
    </row>
    <row r="171" spans="1:11">
      <c r="A171" s="138"/>
      <c r="B171" s="138"/>
      <c r="C171" s="144"/>
      <c r="D171" s="143"/>
      <c r="E171" s="140"/>
      <c r="F171" s="140"/>
      <c r="G171" s="140"/>
      <c r="H171" s="140"/>
      <c r="I171" s="140"/>
      <c r="J171" s="140"/>
      <c r="K171" s="140"/>
    </row>
    <row r="172" spans="1:11">
      <c r="A172" s="138"/>
      <c r="B172" s="138"/>
      <c r="C172" s="144"/>
      <c r="D172" s="143"/>
      <c r="E172" s="140"/>
      <c r="F172" s="140"/>
      <c r="G172" s="140"/>
      <c r="H172" s="140"/>
      <c r="I172" s="140"/>
      <c r="J172" s="140"/>
      <c r="K172" s="140"/>
    </row>
    <row r="173" spans="1:11">
      <c r="A173" s="138"/>
      <c r="B173" s="138"/>
      <c r="C173" s="144"/>
      <c r="D173" s="143"/>
      <c r="E173" s="140"/>
      <c r="F173" s="140"/>
      <c r="G173" s="140"/>
      <c r="H173" s="140"/>
      <c r="I173" s="140"/>
      <c r="J173" s="140"/>
      <c r="K173" s="140"/>
    </row>
    <row r="174" spans="1:11">
      <c r="A174" s="138"/>
      <c r="B174" s="138"/>
      <c r="C174" s="144"/>
      <c r="D174" s="143"/>
      <c r="E174" s="140"/>
      <c r="F174" s="140"/>
      <c r="G174" s="140"/>
      <c r="H174" s="140"/>
      <c r="I174" s="140"/>
      <c r="J174" s="140"/>
      <c r="K174" s="140"/>
    </row>
    <row r="175" spans="1:11">
      <c r="A175" s="138"/>
      <c r="B175" s="138"/>
      <c r="C175" s="144"/>
      <c r="D175" s="143"/>
      <c r="E175" s="140"/>
      <c r="F175" s="140"/>
      <c r="G175" s="140"/>
      <c r="H175" s="140"/>
      <c r="I175" s="140"/>
      <c r="J175" s="140"/>
      <c r="K175" s="140"/>
    </row>
    <row r="176" spans="1:11">
      <c r="A176" s="138"/>
      <c r="B176" s="138"/>
      <c r="C176" s="144"/>
      <c r="D176" s="143"/>
      <c r="E176" s="140"/>
      <c r="F176" s="140"/>
      <c r="G176" s="140"/>
      <c r="H176" s="140"/>
      <c r="I176" s="140"/>
      <c r="J176" s="140"/>
      <c r="K176" s="140"/>
    </row>
    <row r="177" spans="1:11">
      <c r="A177" s="138"/>
      <c r="B177" s="138"/>
      <c r="C177" s="144"/>
      <c r="D177" s="143"/>
      <c r="E177" s="140"/>
      <c r="F177" s="140"/>
      <c r="G177" s="140"/>
      <c r="H177" s="140"/>
      <c r="I177" s="140"/>
      <c r="J177" s="140"/>
      <c r="K177" s="140"/>
    </row>
    <row r="178" spans="1:11">
      <c r="A178" s="138"/>
      <c r="B178" s="138"/>
      <c r="C178" s="144"/>
      <c r="D178" s="143"/>
      <c r="E178" s="140"/>
      <c r="F178" s="140"/>
      <c r="G178" s="140"/>
      <c r="H178" s="140"/>
      <c r="I178" s="140"/>
      <c r="J178" s="140"/>
      <c r="K178" s="140"/>
    </row>
    <row r="179" spans="1:11">
      <c r="A179" s="138"/>
      <c r="B179" s="138"/>
      <c r="C179" s="144"/>
      <c r="D179" s="143"/>
      <c r="E179" s="140"/>
      <c r="F179" s="140"/>
      <c r="G179" s="140"/>
      <c r="H179" s="140"/>
      <c r="I179" s="140"/>
      <c r="J179" s="140"/>
      <c r="K179" s="140"/>
    </row>
    <row r="180" spans="1:11">
      <c r="A180" s="138"/>
      <c r="B180" s="138"/>
      <c r="C180" s="144"/>
      <c r="D180" s="143"/>
      <c r="E180" s="140"/>
      <c r="F180" s="140"/>
      <c r="G180" s="140"/>
      <c r="H180" s="140"/>
      <c r="I180" s="140"/>
      <c r="J180" s="140"/>
      <c r="K180" s="140"/>
    </row>
    <row r="181" spans="1:11">
      <c r="A181" s="138"/>
      <c r="B181" s="138"/>
      <c r="C181" s="144"/>
      <c r="D181" s="143"/>
      <c r="E181" s="140"/>
      <c r="F181" s="140"/>
      <c r="G181" s="140"/>
      <c r="H181" s="140"/>
      <c r="I181" s="140"/>
      <c r="J181" s="140"/>
      <c r="K181" s="140"/>
    </row>
    <row r="182" spans="1:11">
      <c r="A182" s="138"/>
      <c r="B182" s="138"/>
      <c r="C182" s="144"/>
      <c r="D182" s="143"/>
      <c r="E182" s="140"/>
      <c r="F182" s="140"/>
      <c r="G182" s="140"/>
      <c r="H182" s="140"/>
      <c r="I182" s="140"/>
      <c r="J182" s="140"/>
      <c r="K182" s="140"/>
    </row>
    <row r="183" spans="1:11">
      <c r="A183" s="138"/>
      <c r="B183" s="138"/>
      <c r="C183" s="144"/>
      <c r="D183" s="143"/>
      <c r="E183" s="140"/>
      <c r="F183" s="140"/>
      <c r="G183" s="140"/>
      <c r="H183" s="140"/>
      <c r="I183" s="140"/>
      <c r="J183" s="140"/>
      <c r="K183" s="140"/>
    </row>
    <row r="184" spans="1:11">
      <c r="A184" s="138"/>
      <c r="B184" s="138"/>
      <c r="C184" s="144"/>
      <c r="D184" s="143"/>
      <c r="E184" s="140"/>
      <c r="F184" s="140"/>
      <c r="G184" s="140"/>
      <c r="H184" s="140"/>
      <c r="I184" s="140"/>
      <c r="J184" s="140"/>
      <c r="K184" s="140"/>
    </row>
    <row r="185" spans="1:11">
      <c r="A185" s="138"/>
      <c r="B185" s="138"/>
      <c r="C185" s="144"/>
      <c r="D185" s="143"/>
      <c r="E185" s="140"/>
      <c r="F185" s="140"/>
      <c r="G185" s="140"/>
      <c r="H185" s="140"/>
      <c r="I185" s="140"/>
      <c r="J185" s="140"/>
      <c r="K185" s="140"/>
    </row>
    <row r="186" spans="1:11">
      <c r="A186" s="138"/>
      <c r="B186" s="138"/>
      <c r="C186" s="144"/>
      <c r="D186" s="143"/>
      <c r="E186" s="140"/>
      <c r="F186" s="140"/>
      <c r="G186" s="140"/>
      <c r="H186" s="140"/>
      <c r="I186" s="140"/>
      <c r="J186" s="140"/>
      <c r="K186" s="140"/>
    </row>
    <row r="187" spans="1:11">
      <c r="A187" s="138"/>
      <c r="B187" s="138"/>
      <c r="C187" s="144"/>
      <c r="D187" s="143"/>
      <c r="E187" s="140"/>
      <c r="F187" s="140"/>
      <c r="G187" s="140"/>
      <c r="H187" s="140"/>
      <c r="I187" s="140"/>
      <c r="J187" s="140"/>
      <c r="K187" s="140"/>
    </row>
    <row r="188" spans="1:11">
      <c r="A188" s="138"/>
      <c r="B188" s="138"/>
      <c r="C188" s="144"/>
      <c r="D188" s="143"/>
      <c r="E188" s="140"/>
      <c r="F188" s="140"/>
      <c r="G188" s="140"/>
      <c r="H188" s="140"/>
      <c r="I188" s="140"/>
      <c r="J188" s="140"/>
      <c r="K188" s="140"/>
    </row>
    <row r="189" spans="1:11">
      <c r="A189" s="138"/>
      <c r="B189" s="138"/>
      <c r="C189" s="144"/>
      <c r="D189" s="143"/>
      <c r="E189" s="140"/>
      <c r="F189" s="140"/>
      <c r="G189" s="140"/>
      <c r="H189" s="140"/>
      <c r="I189" s="140"/>
      <c r="J189" s="140"/>
      <c r="K189" s="140"/>
    </row>
    <row r="190" spans="1:11">
      <c r="A190" s="138"/>
      <c r="B190" s="138"/>
      <c r="C190" s="144"/>
      <c r="D190" s="143"/>
      <c r="E190" s="140"/>
      <c r="F190" s="140"/>
      <c r="G190" s="140"/>
      <c r="H190" s="140"/>
      <c r="I190" s="140"/>
      <c r="J190" s="140"/>
      <c r="K190" s="140"/>
    </row>
    <row r="191" spans="1:11">
      <c r="A191" s="138"/>
      <c r="B191" s="138"/>
      <c r="C191" s="144"/>
      <c r="D191" s="143"/>
      <c r="E191" s="140"/>
      <c r="F191" s="140"/>
      <c r="G191" s="140"/>
      <c r="H191" s="140"/>
      <c r="I191" s="140"/>
      <c r="J191" s="140"/>
      <c r="K191" s="140"/>
    </row>
    <row r="192" spans="1:11">
      <c r="A192" s="138"/>
      <c r="B192" s="138"/>
      <c r="C192" s="144"/>
      <c r="D192" s="143"/>
      <c r="E192" s="140"/>
      <c r="F192" s="140"/>
      <c r="G192" s="140"/>
      <c r="H192" s="140"/>
      <c r="I192" s="140"/>
      <c r="J192" s="140"/>
      <c r="K192" s="140"/>
    </row>
    <row r="193" spans="1:11">
      <c r="A193" s="138"/>
      <c r="B193" s="138"/>
      <c r="C193" s="144"/>
      <c r="D193" s="143"/>
      <c r="E193" s="140"/>
      <c r="F193" s="140"/>
      <c r="G193" s="140"/>
      <c r="H193" s="140"/>
      <c r="I193" s="140"/>
      <c r="J193" s="140"/>
      <c r="K193" s="140"/>
    </row>
    <row r="194" spans="1:11">
      <c r="A194" s="138"/>
      <c r="B194" s="138"/>
      <c r="C194" s="144"/>
      <c r="D194" s="143"/>
      <c r="E194" s="140"/>
      <c r="F194" s="140"/>
      <c r="G194" s="140"/>
      <c r="H194" s="140"/>
      <c r="I194" s="140"/>
      <c r="J194" s="140"/>
      <c r="K194" s="140"/>
    </row>
    <row r="195" spans="1:11">
      <c r="A195" s="138"/>
      <c r="B195" s="138"/>
      <c r="C195" s="144"/>
      <c r="D195" s="143"/>
      <c r="E195" s="140"/>
      <c r="F195" s="140"/>
      <c r="G195" s="140"/>
      <c r="H195" s="140"/>
      <c r="I195" s="140"/>
      <c r="J195" s="140"/>
      <c r="K195" s="140"/>
    </row>
    <row r="196" spans="1:11">
      <c r="A196" s="138"/>
      <c r="B196" s="138"/>
      <c r="C196" s="144"/>
      <c r="D196" s="143"/>
      <c r="E196" s="140"/>
      <c r="F196" s="140"/>
      <c r="G196" s="140"/>
      <c r="H196" s="140"/>
      <c r="I196" s="140"/>
      <c r="J196" s="140"/>
      <c r="K196" s="140"/>
    </row>
    <row r="197" spans="1:11">
      <c r="A197" s="138"/>
      <c r="B197" s="138"/>
      <c r="C197" s="144"/>
      <c r="D197" s="143"/>
      <c r="E197" s="140"/>
      <c r="F197" s="140"/>
      <c r="G197" s="140"/>
      <c r="H197" s="140"/>
      <c r="I197" s="140"/>
      <c r="J197" s="140"/>
      <c r="K197" s="140"/>
    </row>
    <row r="198" spans="1:11">
      <c r="A198" s="138"/>
      <c r="B198" s="138"/>
      <c r="C198" s="144"/>
      <c r="D198" s="143"/>
      <c r="E198" s="140"/>
      <c r="F198" s="140"/>
      <c r="G198" s="140"/>
      <c r="H198" s="140"/>
      <c r="I198" s="140"/>
      <c r="J198" s="140"/>
      <c r="K198" s="140"/>
    </row>
    <row r="199" spans="1:11">
      <c r="A199" s="138"/>
      <c r="B199" s="138"/>
      <c r="C199" s="144"/>
      <c r="D199" s="143"/>
      <c r="E199" s="140"/>
      <c r="F199" s="140"/>
      <c r="G199" s="140"/>
      <c r="H199" s="140"/>
      <c r="I199" s="140"/>
      <c r="J199" s="140"/>
      <c r="K199" s="140"/>
    </row>
    <row r="200" spans="1:11">
      <c r="A200" s="138"/>
      <c r="B200" s="138"/>
      <c r="C200" s="144"/>
      <c r="D200" s="143"/>
      <c r="E200" s="140"/>
      <c r="F200" s="140"/>
      <c r="G200" s="140"/>
      <c r="H200" s="140"/>
      <c r="I200" s="140"/>
      <c r="J200" s="140"/>
      <c r="K200" s="140"/>
    </row>
    <row r="201" spans="1:11">
      <c r="A201" s="138"/>
      <c r="B201" s="138"/>
      <c r="C201" s="144"/>
      <c r="D201" s="143"/>
      <c r="E201" s="140"/>
      <c r="F201" s="140"/>
      <c r="G201" s="140"/>
      <c r="H201" s="140"/>
      <c r="I201" s="140"/>
      <c r="J201" s="140"/>
      <c r="K201" s="140"/>
    </row>
    <row r="202" spans="1:11">
      <c r="A202" s="138"/>
      <c r="B202" s="138"/>
      <c r="C202" s="144"/>
      <c r="D202" s="143"/>
      <c r="E202" s="140"/>
      <c r="F202" s="140"/>
      <c r="G202" s="140"/>
      <c r="H202" s="140"/>
      <c r="I202" s="140"/>
      <c r="J202" s="140"/>
      <c r="K202" s="140"/>
    </row>
    <row r="203" spans="1:11">
      <c r="A203" s="138"/>
      <c r="B203" s="138"/>
      <c r="C203" s="144"/>
      <c r="D203" s="143"/>
      <c r="E203" s="140"/>
      <c r="F203" s="140"/>
      <c r="G203" s="140"/>
      <c r="H203" s="140"/>
      <c r="I203" s="140"/>
      <c r="J203" s="140"/>
      <c r="K203" s="140"/>
    </row>
    <row r="204" spans="1:11">
      <c r="A204" s="138"/>
      <c r="B204" s="138"/>
      <c r="C204" s="144"/>
      <c r="D204" s="143"/>
      <c r="E204" s="140"/>
      <c r="F204" s="140"/>
      <c r="G204" s="140"/>
      <c r="H204" s="140"/>
      <c r="I204" s="140"/>
      <c r="J204" s="140"/>
      <c r="K204" s="140"/>
    </row>
    <row r="205" spans="1:11">
      <c r="A205" s="138"/>
      <c r="B205" s="138"/>
      <c r="C205" s="144"/>
      <c r="D205" s="143"/>
      <c r="E205" s="140"/>
      <c r="F205" s="140"/>
      <c r="G205" s="140"/>
      <c r="H205" s="140"/>
      <c r="I205" s="140"/>
      <c r="J205" s="140"/>
      <c r="K205" s="140"/>
    </row>
    <row r="206" spans="1:11">
      <c r="A206" s="138"/>
      <c r="B206" s="138"/>
      <c r="C206" s="144"/>
      <c r="D206" s="143"/>
      <c r="E206" s="140"/>
      <c r="F206" s="140"/>
      <c r="G206" s="140"/>
      <c r="H206" s="140"/>
      <c r="I206" s="140"/>
      <c r="J206" s="140"/>
      <c r="K206" s="140"/>
    </row>
    <row r="207" spans="1:11">
      <c r="A207" s="138"/>
      <c r="B207" s="138"/>
      <c r="C207" s="144"/>
      <c r="D207" s="143"/>
      <c r="E207" s="140"/>
      <c r="F207" s="140"/>
      <c r="G207" s="140"/>
      <c r="H207" s="140"/>
      <c r="I207" s="140"/>
      <c r="J207" s="140"/>
      <c r="K207" s="140"/>
    </row>
    <row r="208" spans="1:11">
      <c r="A208" s="138"/>
      <c r="B208" s="138"/>
      <c r="C208" s="144"/>
      <c r="D208" s="143"/>
      <c r="E208" s="140"/>
      <c r="F208" s="140"/>
      <c r="G208" s="140"/>
      <c r="H208" s="140"/>
      <c r="I208" s="140"/>
      <c r="J208" s="140"/>
      <c r="K208" s="140"/>
    </row>
    <row r="209" spans="1:11">
      <c r="A209" s="138"/>
      <c r="B209" s="138"/>
      <c r="C209" s="144"/>
      <c r="D209" s="143"/>
      <c r="E209" s="140"/>
      <c r="F209" s="140"/>
      <c r="G209" s="140"/>
      <c r="H209" s="140"/>
      <c r="I209" s="140"/>
      <c r="J209" s="140"/>
      <c r="K209" s="140"/>
    </row>
    <row r="210" spans="1:11">
      <c r="A210" s="138"/>
      <c r="B210" s="138"/>
      <c r="C210" s="144"/>
      <c r="D210" s="143"/>
      <c r="E210" s="140"/>
      <c r="F210" s="140"/>
      <c r="G210" s="140"/>
      <c r="H210" s="140"/>
      <c r="I210" s="140"/>
      <c r="J210" s="140"/>
      <c r="K210" s="140"/>
    </row>
    <row r="211" spans="1:11">
      <c r="A211" s="138"/>
      <c r="B211" s="138"/>
      <c r="C211" s="144"/>
      <c r="D211" s="143"/>
      <c r="E211" s="140"/>
      <c r="F211" s="140"/>
      <c r="G211" s="140"/>
      <c r="H211" s="140"/>
      <c r="I211" s="140"/>
      <c r="J211" s="140"/>
      <c r="K211" s="140"/>
    </row>
    <row r="212" spans="1:11">
      <c r="A212" s="138"/>
      <c r="B212" s="138"/>
      <c r="C212" s="144"/>
      <c r="D212" s="143"/>
      <c r="E212" s="140"/>
      <c r="F212" s="140"/>
      <c r="G212" s="140"/>
      <c r="H212" s="140"/>
      <c r="I212" s="140"/>
      <c r="J212" s="140"/>
      <c r="K212" s="140"/>
    </row>
    <row r="213" spans="1:11">
      <c r="A213" s="138"/>
      <c r="B213" s="138"/>
      <c r="C213" s="144"/>
      <c r="D213" s="143"/>
      <c r="E213" s="140"/>
      <c r="F213" s="140"/>
      <c r="G213" s="140"/>
      <c r="H213" s="140"/>
      <c r="I213" s="140"/>
      <c r="J213" s="140"/>
      <c r="K213" s="140"/>
    </row>
    <row r="214" spans="1:11">
      <c r="A214" s="138"/>
      <c r="B214" s="138"/>
      <c r="C214" s="144"/>
      <c r="D214" s="143"/>
      <c r="E214" s="140"/>
      <c r="F214" s="140"/>
      <c r="G214" s="140"/>
      <c r="H214" s="140"/>
      <c r="I214" s="140"/>
      <c r="J214" s="140"/>
      <c r="K214" s="140"/>
    </row>
    <row r="215" spans="1:11">
      <c r="A215" s="138"/>
      <c r="B215" s="138"/>
      <c r="C215" s="144"/>
      <c r="D215" s="143"/>
      <c r="E215" s="140"/>
      <c r="F215" s="140"/>
      <c r="G215" s="140"/>
      <c r="H215" s="140"/>
      <c r="I215" s="140"/>
      <c r="J215" s="140"/>
      <c r="K215" s="140"/>
    </row>
    <row r="216" spans="1:11">
      <c r="A216" s="138"/>
      <c r="B216" s="138"/>
      <c r="C216" s="144"/>
      <c r="D216" s="143"/>
      <c r="E216" s="140"/>
      <c r="F216" s="140"/>
      <c r="G216" s="140"/>
      <c r="H216" s="140"/>
      <c r="I216" s="140"/>
      <c r="J216" s="140"/>
      <c r="K216" s="140"/>
    </row>
    <row r="217" spans="1:11">
      <c r="A217" s="138"/>
      <c r="B217" s="138"/>
      <c r="C217" s="144"/>
      <c r="D217" s="143"/>
      <c r="E217" s="140"/>
      <c r="F217" s="140"/>
      <c r="G217" s="140"/>
      <c r="H217" s="140"/>
      <c r="I217" s="140"/>
      <c r="J217" s="140"/>
      <c r="K217" s="140"/>
    </row>
    <row r="218" spans="1:11">
      <c r="A218" s="138"/>
      <c r="B218" s="138"/>
      <c r="C218" s="144"/>
      <c r="D218" s="143"/>
      <c r="E218" s="140"/>
      <c r="F218" s="140"/>
      <c r="G218" s="140"/>
      <c r="H218" s="140"/>
      <c r="I218" s="140"/>
      <c r="J218" s="140"/>
      <c r="K218" s="140"/>
    </row>
    <row r="219" spans="1:11">
      <c r="A219" s="138"/>
      <c r="B219" s="138"/>
      <c r="C219" s="144"/>
      <c r="D219" s="143"/>
      <c r="E219" s="140"/>
      <c r="F219" s="140"/>
      <c r="G219" s="140"/>
      <c r="H219" s="140"/>
      <c r="I219" s="140"/>
      <c r="J219" s="140"/>
      <c r="K219" s="140"/>
    </row>
    <row r="220" spans="1:11">
      <c r="A220" s="138"/>
      <c r="B220" s="138"/>
      <c r="C220" s="144"/>
      <c r="D220" s="143"/>
      <c r="E220" s="140"/>
      <c r="F220" s="140"/>
      <c r="G220" s="140"/>
      <c r="H220" s="140"/>
      <c r="I220" s="140"/>
      <c r="J220" s="140"/>
      <c r="K220" s="140"/>
    </row>
    <row r="221" spans="1:11">
      <c r="A221" s="138"/>
      <c r="B221" s="138"/>
      <c r="C221" s="144"/>
      <c r="D221" s="143"/>
      <c r="E221" s="140"/>
      <c r="F221" s="140"/>
      <c r="G221" s="140"/>
      <c r="H221" s="140"/>
      <c r="I221" s="140"/>
      <c r="J221" s="140"/>
      <c r="K221" s="140"/>
    </row>
    <row r="222" spans="1:11">
      <c r="A222" s="138"/>
      <c r="B222" s="138"/>
      <c r="C222" s="144"/>
      <c r="D222" s="143"/>
      <c r="E222" s="140"/>
      <c r="F222" s="140"/>
      <c r="G222" s="140"/>
      <c r="H222" s="140"/>
      <c r="I222" s="140"/>
      <c r="J222" s="140"/>
      <c r="K222" s="140"/>
    </row>
    <row r="223" spans="1:11">
      <c r="A223" s="138"/>
      <c r="B223" s="138"/>
      <c r="C223" s="144"/>
      <c r="D223" s="143"/>
      <c r="E223" s="140"/>
      <c r="F223" s="140"/>
      <c r="G223" s="140"/>
      <c r="H223" s="140"/>
      <c r="I223" s="140"/>
      <c r="J223" s="140"/>
      <c r="K223" s="140"/>
    </row>
    <row r="224" spans="1:11">
      <c r="A224" s="138"/>
      <c r="B224" s="138"/>
      <c r="C224" s="144"/>
      <c r="D224" s="143"/>
      <c r="E224" s="140"/>
      <c r="F224" s="140"/>
      <c r="G224" s="140"/>
      <c r="H224" s="140"/>
      <c r="I224" s="140"/>
      <c r="J224" s="140"/>
      <c r="K224" s="140"/>
    </row>
    <row r="225" spans="1:11">
      <c r="A225" s="138"/>
      <c r="B225" s="138"/>
      <c r="C225" s="144"/>
      <c r="D225" s="143"/>
      <c r="E225" s="140"/>
      <c r="F225" s="140"/>
      <c r="G225" s="140"/>
      <c r="H225" s="140"/>
      <c r="I225" s="140"/>
      <c r="J225" s="140"/>
      <c r="K225" s="140"/>
    </row>
    <row r="226" spans="1:11">
      <c r="A226" s="138"/>
      <c r="B226" s="138"/>
      <c r="C226" s="144"/>
      <c r="D226" s="143"/>
      <c r="E226" s="140"/>
      <c r="F226" s="140"/>
      <c r="G226" s="140"/>
      <c r="H226" s="140"/>
      <c r="I226" s="140"/>
      <c r="J226" s="140"/>
      <c r="K226" s="140"/>
    </row>
    <row r="227" spans="1:11">
      <c r="A227" s="138"/>
      <c r="B227" s="138"/>
      <c r="C227" s="144"/>
      <c r="D227" s="143"/>
      <c r="E227" s="140"/>
      <c r="F227" s="140"/>
      <c r="G227" s="140"/>
      <c r="H227" s="140"/>
      <c r="I227" s="140"/>
      <c r="J227" s="140"/>
      <c r="K227" s="140"/>
    </row>
    <row r="228" spans="1:11">
      <c r="A228" s="138"/>
      <c r="B228" s="138"/>
      <c r="C228" s="144"/>
      <c r="D228" s="143"/>
      <c r="E228" s="140"/>
      <c r="F228" s="140"/>
      <c r="G228" s="140"/>
      <c r="H228" s="140"/>
      <c r="I228" s="140"/>
      <c r="J228" s="140"/>
      <c r="K228" s="140"/>
    </row>
    <row r="229" spans="1:11">
      <c r="A229" s="138"/>
      <c r="B229" s="138"/>
      <c r="C229" s="144"/>
      <c r="D229" s="143"/>
      <c r="E229" s="140"/>
      <c r="F229" s="140"/>
      <c r="G229" s="140"/>
      <c r="H229" s="140"/>
      <c r="I229" s="140"/>
      <c r="J229" s="140"/>
      <c r="K229" s="140"/>
    </row>
    <row r="230" spans="1:11">
      <c r="A230" s="138"/>
      <c r="B230" s="138"/>
      <c r="C230" s="144"/>
      <c r="D230" s="143"/>
      <c r="E230" s="140"/>
      <c r="F230" s="140"/>
      <c r="G230" s="140"/>
      <c r="H230" s="140"/>
      <c r="I230" s="140"/>
      <c r="J230" s="140"/>
      <c r="K230" s="140"/>
    </row>
    <row r="231" spans="1:11">
      <c r="A231" s="138"/>
      <c r="B231" s="138"/>
      <c r="C231" s="144"/>
      <c r="D231" s="143"/>
      <c r="E231" s="140"/>
      <c r="F231" s="140"/>
      <c r="G231" s="140"/>
      <c r="H231" s="140"/>
      <c r="I231" s="140"/>
      <c r="J231" s="140"/>
      <c r="K231" s="140"/>
    </row>
    <row r="232" spans="1:11">
      <c r="A232" s="138"/>
      <c r="B232" s="138"/>
      <c r="C232" s="144"/>
      <c r="D232" s="143"/>
      <c r="E232" s="140"/>
      <c r="F232" s="140"/>
      <c r="G232" s="140"/>
      <c r="H232" s="140"/>
      <c r="I232" s="140"/>
      <c r="J232" s="140"/>
      <c r="K232" s="140"/>
    </row>
    <row r="233" spans="1:11">
      <c r="A233" s="138"/>
      <c r="B233" s="138"/>
      <c r="C233" s="144"/>
      <c r="D233" s="143"/>
      <c r="E233" s="140"/>
      <c r="F233" s="140"/>
      <c r="G233" s="140"/>
      <c r="H233" s="140"/>
      <c r="I233" s="140"/>
      <c r="J233" s="140"/>
      <c r="K233" s="140"/>
    </row>
    <row r="234" spans="1:11">
      <c r="A234" s="138"/>
      <c r="B234" s="138"/>
      <c r="C234" s="144"/>
      <c r="D234" s="143"/>
      <c r="E234" s="140"/>
      <c r="F234" s="140"/>
      <c r="G234" s="140"/>
      <c r="H234" s="140"/>
      <c r="I234" s="140"/>
      <c r="J234" s="140"/>
      <c r="K234" s="140"/>
    </row>
    <row r="235" spans="1:11">
      <c r="A235" s="138"/>
      <c r="B235" s="138"/>
      <c r="C235" s="144"/>
      <c r="D235" s="143"/>
      <c r="E235" s="140"/>
      <c r="F235" s="140"/>
      <c r="G235" s="140"/>
      <c r="H235" s="140"/>
      <c r="I235" s="140"/>
      <c r="J235" s="140"/>
      <c r="K235" s="140"/>
    </row>
    <row r="236" spans="1:11">
      <c r="A236" s="138"/>
      <c r="B236" s="138"/>
      <c r="C236" s="144"/>
      <c r="D236" s="143"/>
      <c r="E236" s="140"/>
      <c r="F236" s="140"/>
      <c r="G236" s="140"/>
      <c r="H236" s="140"/>
      <c r="I236" s="140"/>
      <c r="J236" s="140"/>
      <c r="K236" s="140"/>
    </row>
    <row r="237" spans="1:11">
      <c r="A237" s="138"/>
      <c r="B237" s="138"/>
      <c r="C237" s="144"/>
      <c r="D237" s="143"/>
      <c r="E237" s="140"/>
      <c r="F237" s="140"/>
      <c r="G237" s="140"/>
      <c r="H237" s="140"/>
      <c r="I237" s="140"/>
      <c r="J237" s="140"/>
      <c r="K237" s="140"/>
    </row>
    <row r="238" spans="1:11">
      <c r="A238" s="138"/>
      <c r="B238" s="138"/>
      <c r="C238" s="144"/>
      <c r="D238" s="143"/>
      <c r="E238" s="140"/>
      <c r="F238" s="140"/>
      <c r="G238" s="140"/>
      <c r="H238" s="140"/>
      <c r="I238" s="140"/>
      <c r="J238" s="140"/>
      <c r="K238" s="140"/>
    </row>
    <row r="239" spans="1:11">
      <c r="A239" s="138"/>
      <c r="B239" s="138"/>
      <c r="C239" s="144"/>
      <c r="D239" s="143"/>
      <c r="E239" s="140"/>
      <c r="F239" s="140"/>
      <c r="G239" s="140"/>
      <c r="H239" s="140"/>
      <c r="I239" s="140"/>
      <c r="J239" s="140"/>
      <c r="K239" s="140"/>
    </row>
    <row r="240" spans="1:11">
      <c r="A240" s="138"/>
      <c r="B240" s="138"/>
      <c r="C240" s="144"/>
      <c r="D240" s="143"/>
      <c r="E240" s="140"/>
      <c r="F240" s="140"/>
      <c r="G240" s="140"/>
      <c r="H240" s="140"/>
      <c r="I240" s="140"/>
      <c r="J240" s="140"/>
      <c r="K240" s="140"/>
    </row>
    <row r="241" spans="1:11">
      <c r="A241" s="138"/>
      <c r="B241" s="138"/>
      <c r="C241" s="144"/>
      <c r="D241" s="143"/>
      <c r="E241" s="140"/>
      <c r="F241" s="140"/>
      <c r="G241" s="140"/>
      <c r="H241" s="140"/>
      <c r="I241" s="140"/>
      <c r="J241" s="140"/>
      <c r="K241" s="140"/>
    </row>
    <row r="242" spans="1:11">
      <c r="A242" s="138"/>
      <c r="B242" s="138"/>
      <c r="C242" s="144"/>
      <c r="D242" s="143"/>
      <c r="E242" s="140"/>
      <c r="F242" s="140"/>
      <c r="G242" s="140"/>
      <c r="H242" s="140"/>
      <c r="I242" s="140"/>
      <c r="J242" s="140"/>
      <c r="K242" s="140"/>
    </row>
    <row r="243" spans="1:11">
      <c r="A243" s="138"/>
      <c r="B243" s="138"/>
      <c r="C243" s="144"/>
      <c r="D243" s="143"/>
      <c r="E243" s="140"/>
      <c r="F243" s="140"/>
      <c r="G243" s="140"/>
      <c r="H243" s="140"/>
      <c r="I243" s="140"/>
      <c r="J243" s="140"/>
      <c r="K243" s="140"/>
    </row>
    <row r="244" spans="1:11">
      <c r="A244" s="138"/>
      <c r="B244" s="138"/>
      <c r="C244" s="144"/>
      <c r="D244" s="143"/>
      <c r="E244" s="140"/>
      <c r="F244" s="140"/>
      <c r="G244" s="140"/>
      <c r="H244" s="140"/>
      <c r="I244" s="140"/>
      <c r="J244" s="140"/>
      <c r="K244" s="140"/>
    </row>
    <row r="245" spans="1:11">
      <c r="A245" s="138"/>
      <c r="B245" s="138"/>
      <c r="C245" s="144"/>
      <c r="D245" s="143"/>
      <c r="E245" s="140"/>
      <c r="F245" s="140"/>
      <c r="G245" s="140"/>
      <c r="H245" s="140"/>
      <c r="I245" s="140"/>
      <c r="J245" s="140"/>
      <c r="K245" s="140"/>
    </row>
    <row r="246" spans="1:11">
      <c r="A246" s="138"/>
      <c r="B246" s="138"/>
      <c r="C246" s="144"/>
      <c r="D246" s="143"/>
      <c r="E246" s="140"/>
      <c r="F246" s="140"/>
      <c r="G246" s="140"/>
      <c r="H246" s="140"/>
      <c r="I246" s="140"/>
      <c r="J246" s="140"/>
      <c r="K246" s="140"/>
    </row>
    <row r="247" spans="1:11">
      <c r="A247" s="138"/>
      <c r="B247" s="138"/>
      <c r="C247" s="144"/>
      <c r="D247" s="143"/>
      <c r="E247" s="140"/>
      <c r="F247" s="140"/>
      <c r="G247" s="140"/>
      <c r="H247" s="140"/>
      <c r="I247" s="140"/>
      <c r="J247" s="140"/>
      <c r="K247" s="140"/>
    </row>
    <row r="248" spans="1:11">
      <c r="A248" s="138"/>
      <c r="B248" s="138"/>
      <c r="C248" s="144"/>
      <c r="D248" s="143"/>
      <c r="E248" s="140"/>
      <c r="F248" s="140"/>
      <c r="G248" s="140"/>
      <c r="H248" s="140"/>
      <c r="I248" s="140"/>
      <c r="J248" s="140"/>
      <c r="K248" s="140"/>
    </row>
    <row r="249" spans="1:11">
      <c r="A249" s="138"/>
      <c r="B249" s="138"/>
      <c r="C249" s="144"/>
      <c r="D249" s="143"/>
      <c r="E249" s="140"/>
      <c r="F249" s="140"/>
      <c r="G249" s="140"/>
      <c r="H249" s="140"/>
      <c r="I249" s="140"/>
      <c r="J249" s="140"/>
      <c r="K249" s="140"/>
    </row>
    <row r="250" spans="1:11">
      <c r="A250" s="138"/>
      <c r="B250" s="138"/>
      <c r="C250" s="144"/>
      <c r="D250" s="143"/>
      <c r="E250" s="140"/>
      <c r="F250" s="140"/>
      <c r="G250" s="140"/>
      <c r="H250" s="140"/>
      <c r="I250" s="140"/>
      <c r="J250" s="140"/>
      <c r="K250" s="140"/>
    </row>
    <row r="251" spans="1:11">
      <c r="A251" s="138"/>
      <c r="B251" s="138"/>
      <c r="C251" s="144"/>
      <c r="D251" s="143"/>
      <c r="E251" s="140"/>
      <c r="F251" s="140"/>
      <c r="G251" s="140"/>
      <c r="H251" s="140"/>
      <c r="I251" s="140"/>
      <c r="J251" s="140"/>
      <c r="K251" s="140"/>
    </row>
    <row r="252" spans="1:11">
      <c r="A252" s="138"/>
      <c r="B252" s="138"/>
      <c r="C252" s="144"/>
      <c r="D252" s="143"/>
      <c r="E252" s="140"/>
      <c r="F252" s="140"/>
      <c r="G252" s="140"/>
      <c r="H252" s="140"/>
      <c r="I252" s="140"/>
      <c r="J252" s="140"/>
      <c r="K252" s="140"/>
    </row>
    <row r="253" spans="1:11">
      <c r="A253" s="138"/>
      <c r="B253" s="138"/>
      <c r="C253" s="144"/>
      <c r="D253" s="143"/>
      <c r="E253" s="140"/>
      <c r="F253" s="140"/>
      <c r="G253" s="140"/>
      <c r="H253" s="140"/>
      <c r="I253" s="140"/>
      <c r="J253" s="140"/>
      <c r="K253" s="140"/>
    </row>
    <row r="254" spans="1:11">
      <c r="A254" s="138"/>
      <c r="B254" s="138"/>
      <c r="C254" s="144"/>
      <c r="D254" s="143"/>
      <c r="E254" s="140"/>
      <c r="F254" s="140"/>
      <c r="G254" s="140"/>
      <c r="H254" s="140"/>
      <c r="I254" s="140"/>
      <c r="J254" s="140"/>
      <c r="K254" s="140"/>
    </row>
    <row r="255" spans="1:11">
      <c r="A255" s="138"/>
      <c r="B255" s="138"/>
      <c r="C255" s="144"/>
      <c r="D255" s="143"/>
      <c r="E255" s="140"/>
      <c r="F255" s="140"/>
      <c r="G255" s="140"/>
      <c r="H255" s="140"/>
      <c r="I255" s="140"/>
      <c r="J255" s="140"/>
      <c r="K255" s="140"/>
    </row>
    <row r="256" spans="1:11">
      <c r="A256" s="138"/>
      <c r="B256" s="138"/>
      <c r="C256" s="144"/>
      <c r="D256" s="143"/>
      <c r="E256" s="140"/>
      <c r="F256" s="140"/>
      <c r="G256" s="140"/>
      <c r="H256" s="140"/>
      <c r="I256" s="140"/>
      <c r="J256" s="140"/>
      <c r="K256" s="140"/>
    </row>
    <row r="257" spans="1:11">
      <c r="A257" s="138"/>
      <c r="B257" s="138"/>
      <c r="C257" s="144"/>
      <c r="D257" s="143"/>
      <c r="E257" s="140"/>
      <c r="F257" s="140"/>
      <c r="G257" s="140"/>
      <c r="H257" s="140"/>
      <c r="I257" s="140"/>
      <c r="J257" s="140"/>
      <c r="K257" s="140"/>
    </row>
    <row r="258" spans="1:11">
      <c r="A258" s="138"/>
      <c r="B258" s="138"/>
      <c r="C258" s="144"/>
      <c r="D258" s="143"/>
      <c r="E258" s="140"/>
      <c r="F258" s="140"/>
      <c r="G258" s="140"/>
      <c r="H258" s="140"/>
      <c r="I258" s="140"/>
      <c r="J258" s="140"/>
      <c r="K258" s="140"/>
    </row>
    <row r="259" spans="1:11">
      <c r="A259" s="138"/>
      <c r="B259" s="138"/>
      <c r="C259" s="144"/>
      <c r="D259" s="143"/>
      <c r="E259" s="140"/>
      <c r="F259" s="140"/>
      <c r="G259" s="140"/>
      <c r="H259" s="140"/>
      <c r="I259" s="140"/>
      <c r="J259" s="140"/>
      <c r="K259" s="140"/>
    </row>
    <row r="260" spans="1:11">
      <c r="A260" s="138"/>
      <c r="B260" s="138"/>
      <c r="C260" s="144"/>
      <c r="D260" s="143"/>
      <c r="E260" s="140"/>
      <c r="F260" s="140"/>
      <c r="G260" s="140"/>
      <c r="H260" s="140"/>
      <c r="I260" s="140"/>
      <c r="J260" s="140"/>
      <c r="K260" s="140"/>
    </row>
    <row r="261" spans="1:11">
      <c r="A261" s="138"/>
      <c r="B261" s="138"/>
      <c r="C261" s="144"/>
      <c r="D261" s="143"/>
      <c r="E261" s="140"/>
      <c r="F261" s="140"/>
      <c r="G261" s="140"/>
      <c r="H261" s="140"/>
      <c r="I261" s="140"/>
      <c r="J261" s="140"/>
      <c r="K261" s="140"/>
    </row>
    <row r="262" spans="1:11">
      <c r="A262" s="138"/>
      <c r="B262" s="138"/>
      <c r="C262" s="144"/>
      <c r="D262" s="143"/>
      <c r="E262" s="140"/>
      <c r="F262" s="140"/>
      <c r="G262" s="140"/>
      <c r="H262" s="140"/>
      <c r="I262" s="140"/>
      <c r="J262" s="140"/>
      <c r="K262" s="140"/>
    </row>
    <row r="263" spans="1:11">
      <c r="A263" s="138"/>
      <c r="B263" s="138"/>
      <c r="C263" s="144"/>
      <c r="D263" s="143"/>
      <c r="E263" s="140"/>
      <c r="F263" s="140"/>
      <c r="G263" s="140"/>
      <c r="H263" s="140"/>
      <c r="I263" s="140"/>
      <c r="J263" s="140"/>
      <c r="K263" s="140"/>
    </row>
    <row r="264" spans="1:11">
      <c r="A264" s="138"/>
      <c r="B264" s="138"/>
      <c r="C264" s="144"/>
      <c r="D264" s="143"/>
      <c r="E264" s="140"/>
      <c r="F264" s="140"/>
      <c r="G264" s="140"/>
      <c r="H264" s="140"/>
      <c r="I264" s="140"/>
      <c r="J264" s="140"/>
      <c r="K264" s="140"/>
    </row>
    <row r="265" spans="1:11">
      <c r="A265" s="138"/>
      <c r="B265" s="138"/>
      <c r="C265" s="144"/>
      <c r="D265" s="143"/>
      <c r="E265" s="140"/>
      <c r="F265" s="140"/>
      <c r="G265" s="140"/>
      <c r="H265" s="140"/>
      <c r="I265" s="140"/>
      <c r="J265" s="140"/>
      <c r="K265" s="140"/>
    </row>
    <row r="266" spans="1:11">
      <c r="A266" s="138"/>
      <c r="B266" s="138"/>
      <c r="C266" s="144"/>
      <c r="D266" s="143"/>
      <c r="E266" s="140"/>
      <c r="F266" s="140"/>
      <c r="G266" s="140"/>
      <c r="H266" s="140"/>
      <c r="I266" s="140"/>
      <c r="J266" s="140"/>
      <c r="K266" s="140"/>
    </row>
    <row r="267" spans="1:11">
      <c r="A267" s="138"/>
      <c r="B267" s="138"/>
      <c r="C267" s="144"/>
      <c r="D267" s="143"/>
      <c r="E267" s="140"/>
      <c r="F267" s="140"/>
      <c r="G267" s="140"/>
      <c r="H267" s="140"/>
      <c r="I267" s="140"/>
      <c r="J267" s="140"/>
      <c r="K267" s="140"/>
    </row>
    <row r="268" spans="1:11">
      <c r="A268" s="138"/>
      <c r="B268" s="138"/>
      <c r="C268" s="144"/>
      <c r="D268" s="143"/>
      <c r="E268" s="140"/>
      <c r="F268" s="140"/>
      <c r="G268" s="140"/>
      <c r="H268" s="140"/>
      <c r="I268" s="140"/>
      <c r="J268" s="140"/>
      <c r="K268" s="140"/>
    </row>
    <row r="269" spans="1:11">
      <c r="A269" s="138"/>
      <c r="B269" s="138"/>
      <c r="C269" s="144"/>
      <c r="D269" s="143"/>
      <c r="E269" s="140"/>
      <c r="F269" s="140"/>
      <c r="G269" s="140"/>
      <c r="H269" s="140"/>
      <c r="I269" s="140"/>
      <c r="J269" s="140"/>
      <c r="K269" s="140"/>
    </row>
    <row r="270" spans="1:11">
      <c r="A270" s="138"/>
      <c r="B270" s="138"/>
      <c r="C270" s="144"/>
      <c r="D270" s="143"/>
      <c r="E270" s="140"/>
      <c r="F270" s="140"/>
      <c r="G270" s="140"/>
      <c r="H270" s="140"/>
      <c r="I270" s="140"/>
      <c r="J270" s="140"/>
      <c r="K270" s="140"/>
    </row>
    <row r="271" spans="1:11">
      <c r="A271" s="138"/>
      <c r="B271" s="138"/>
      <c r="C271" s="144"/>
      <c r="D271" s="143"/>
      <c r="E271" s="140"/>
      <c r="F271" s="140"/>
      <c r="G271" s="140"/>
      <c r="H271" s="140"/>
      <c r="I271" s="140"/>
      <c r="J271" s="140"/>
      <c r="K271" s="140"/>
    </row>
    <row r="272" spans="1:11">
      <c r="A272" s="138"/>
      <c r="B272" s="138"/>
      <c r="C272" s="144"/>
      <c r="D272" s="143"/>
      <c r="E272" s="140"/>
      <c r="F272" s="140"/>
      <c r="G272" s="140"/>
      <c r="H272" s="140"/>
      <c r="I272" s="140"/>
      <c r="J272" s="140"/>
      <c r="K272" s="140"/>
    </row>
    <row r="273" spans="1:11">
      <c r="A273" s="138"/>
      <c r="B273" s="138"/>
      <c r="C273" s="144"/>
      <c r="D273" s="143"/>
      <c r="E273" s="140"/>
      <c r="F273" s="140"/>
      <c r="G273" s="140"/>
      <c r="H273" s="140"/>
      <c r="I273" s="140"/>
      <c r="J273" s="140"/>
      <c r="K273" s="140"/>
    </row>
    <row r="274" spans="1:11">
      <c r="A274" s="138"/>
      <c r="B274" s="138"/>
      <c r="C274" s="144"/>
      <c r="D274" s="143"/>
      <c r="E274" s="140"/>
      <c r="F274" s="140"/>
      <c r="G274" s="140"/>
      <c r="H274" s="140"/>
      <c r="I274" s="140"/>
      <c r="J274" s="140"/>
      <c r="K274" s="140"/>
    </row>
    <row r="275" spans="1:11">
      <c r="A275" s="138"/>
      <c r="B275" s="138"/>
      <c r="C275" s="144"/>
      <c r="D275" s="143"/>
      <c r="E275" s="140"/>
      <c r="F275" s="140"/>
      <c r="G275" s="140"/>
      <c r="H275" s="140"/>
      <c r="I275" s="140"/>
      <c r="J275" s="140"/>
      <c r="K275" s="140"/>
    </row>
    <row r="276" spans="1:11">
      <c r="A276" s="138"/>
      <c r="B276" s="138"/>
      <c r="C276" s="144"/>
      <c r="D276" s="143"/>
      <c r="E276" s="140"/>
      <c r="F276" s="140"/>
      <c r="G276" s="140"/>
      <c r="H276" s="140"/>
      <c r="I276" s="140"/>
      <c r="J276" s="140"/>
      <c r="K276" s="140"/>
    </row>
    <row r="277" spans="1:11">
      <c r="A277" s="138"/>
      <c r="B277" s="138"/>
      <c r="C277" s="144"/>
      <c r="D277" s="143"/>
      <c r="E277" s="140"/>
      <c r="F277" s="140"/>
      <c r="G277" s="140"/>
      <c r="H277" s="140"/>
      <c r="I277" s="140"/>
      <c r="J277" s="140"/>
      <c r="K277" s="140"/>
    </row>
    <row r="278" spans="1:11">
      <c r="A278" s="138"/>
      <c r="B278" s="138"/>
      <c r="C278" s="144"/>
      <c r="D278" s="143"/>
      <c r="E278" s="140"/>
      <c r="F278" s="140"/>
      <c r="G278" s="140"/>
      <c r="H278" s="140"/>
      <c r="I278" s="140"/>
      <c r="J278" s="140"/>
      <c r="K278" s="140"/>
    </row>
    <row r="279" spans="1:11">
      <c r="A279" s="138"/>
      <c r="B279" s="138"/>
      <c r="C279" s="144"/>
      <c r="D279" s="143"/>
      <c r="E279" s="140"/>
      <c r="F279" s="140"/>
      <c r="G279" s="140"/>
      <c r="H279" s="140"/>
      <c r="I279" s="140"/>
      <c r="J279" s="140"/>
      <c r="K279" s="140"/>
    </row>
    <row r="280" spans="1:11">
      <c r="A280" s="138"/>
      <c r="B280" s="138"/>
      <c r="C280" s="144"/>
      <c r="D280" s="143"/>
      <c r="E280" s="140"/>
      <c r="F280" s="140"/>
      <c r="G280" s="140"/>
      <c r="H280" s="140"/>
      <c r="I280" s="140"/>
      <c r="J280" s="140"/>
      <c r="K280" s="140"/>
    </row>
    <row r="281" spans="1:11">
      <c r="A281" s="138"/>
      <c r="B281" s="138"/>
      <c r="C281" s="144"/>
      <c r="D281" s="143"/>
      <c r="E281" s="140"/>
      <c r="F281" s="140"/>
      <c r="G281" s="140"/>
      <c r="H281" s="140"/>
      <c r="I281" s="140"/>
      <c r="J281" s="140"/>
      <c r="K281" s="140"/>
    </row>
    <row r="282" spans="1:11">
      <c r="A282" s="138"/>
      <c r="B282" s="138"/>
      <c r="C282" s="144"/>
      <c r="D282" s="143"/>
      <c r="E282" s="140"/>
      <c r="F282" s="140"/>
      <c r="G282" s="140"/>
      <c r="H282" s="140"/>
      <c r="I282" s="140"/>
      <c r="J282" s="140"/>
      <c r="K282" s="140"/>
    </row>
    <row r="283" spans="1:11">
      <c r="A283" s="138"/>
      <c r="B283" s="138"/>
      <c r="C283" s="144"/>
      <c r="D283" s="143"/>
      <c r="E283" s="140"/>
      <c r="F283" s="140"/>
      <c r="G283" s="140"/>
      <c r="H283" s="140"/>
      <c r="I283" s="140"/>
      <c r="J283" s="140"/>
      <c r="K283" s="140"/>
    </row>
    <row r="284" spans="1:11">
      <c r="A284" s="138"/>
      <c r="B284" s="138"/>
      <c r="C284" s="144"/>
      <c r="D284" s="143"/>
      <c r="E284" s="140"/>
      <c r="F284" s="140"/>
      <c r="G284" s="140"/>
      <c r="H284" s="140"/>
      <c r="I284" s="140"/>
      <c r="J284" s="140"/>
      <c r="K284" s="140"/>
    </row>
    <row r="285" spans="1:11">
      <c r="A285" s="138"/>
      <c r="B285" s="138"/>
      <c r="C285" s="144"/>
      <c r="D285" s="143"/>
      <c r="E285" s="140"/>
      <c r="F285" s="140"/>
      <c r="G285" s="140"/>
      <c r="H285" s="140"/>
      <c r="I285" s="140"/>
      <c r="J285" s="140"/>
      <c r="K285" s="140"/>
    </row>
    <row r="286" spans="1:11">
      <c r="A286" s="138"/>
      <c r="B286" s="138"/>
      <c r="C286" s="144"/>
      <c r="D286" s="143"/>
      <c r="E286" s="140"/>
      <c r="F286" s="140"/>
      <c r="G286" s="140"/>
      <c r="H286" s="140"/>
      <c r="I286" s="140"/>
      <c r="J286" s="140"/>
      <c r="K286" s="140"/>
    </row>
    <row r="287" spans="1:11">
      <c r="A287" s="138"/>
      <c r="B287" s="138"/>
      <c r="C287" s="144"/>
      <c r="D287" s="143"/>
      <c r="E287" s="140"/>
      <c r="F287" s="140"/>
      <c r="G287" s="140"/>
      <c r="H287" s="140"/>
      <c r="I287" s="140"/>
      <c r="J287" s="140"/>
      <c r="K287" s="140"/>
    </row>
    <row r="288" spans="1:11">
      <c r="A288" s="138"/>
      <c r="B288" s="138"/>
      <c r="C288" s="144"/>
      <c r="D288" s="143"/>
      <c r="E288" s="140"/>
      <c r="F288" s="140"/>
      <c r="G288" s="140"/>
      <c r="H288" s="140"/>
      <c r="I288" s="140"/>
      <c r="J288" s="140"/>
      <c r="K288" s="140"/>
    </row>
    <row r="289" spans="1:11">
      <c r="A289" s="138"/>
      <c r="B289" s="138"/>
      <c r="C289" s="144"/>
      <c r="D289" s="143"/>
      <c r="E289" s="140"/>
      <c r="F289" s="140"/>
      <c r="G289" s="140"/>
      <c r="H289" s="140"/>
      <c r="I289" s="140"/>
      <c r="J289" s="140"/>
      <c r="K289" s="140"/>
    </row>
    <row r="290" spans="1:11">
      <c r="A290" s="138"/>
      <c r="B290" s="138"/>
      <c r="C290" s="144"/>
      <c r="D290" s="143"/>
      <c r="E290" s="140"/>
      <c r="F290" s="140"/>
      <c r="G290" s="140"/>
      <c r="H290" s="140"/>
      <c r="I290" s="140"/>
      <c r="J290" s="140"/>
      <c r="K290" s="140"/>
    </row>
    <row r="291" spans="1:11">
      <c r="A291" s="138"/>
      <c r="B291" s="138"/>
      <c r="C291" s="144"/>
      <c r="D291" s="143"/>
      <c r="E291" s="140"/>
      <c r="F291" s="140"/>
      <c r="G291" s="140"/>
      <c r="H291" s="140"/>
      <c r="I291" s="140"/>
      <c r="J291" s="140"/>
      <c r="K291" s="140"/>
    </row>
    <row r="292" spans="1:11">
      <c r="A292" s="138"/>
      <c r="B292" s="138"/>
      <c r="C292" s="144"/>
      <c r="D292" s="143"/>
      <c r="E292" s="140"/>
      <c r="F292" s="140"/>
      <c r="G292" s="140"/>
      <c r="H292" s="140"/>
      <c r="I292" s="140"/>
      <c r="J292" s="140"/>
      <c r="K292" s="140"/>
    </row>
    <row r="293" spans="1:11">
      <c r="A293" s="138"/>
      <c r="B293" s="138"/>
      <c r="C293" s="144"/>
      <c r="D293" s="143"/>
      <c r="E293" s="140"/>
      <c r="F293" s="140"/>
      <c r="G293" s="140"/>
      <c r="H293" s="140"/>
      <c r="I293" s="140"/>
      <c r="J293" s="140"/>
      <c r="K293" s="140"/>
    </row>
    <row r="294" spans="1:11">
      <c r="A294" s="138"/>
      <c r="B294" s="138"/>
      <c r="C294" s="144"/>
      <c r="D294" s="143"/>
      <c r="E294" s="140"/>
      <c r="F294" s="140"/>
      <c r="G294" s="140"/>
      <c r="H294" s="140"/>
      <c r="I294" s="140"/>
      <c r="J294" s="140"/>
      <c r="K294" s="140"/>
    </row>
    <row r="295" spans="1:11">
      <c r="A295" s="138"/>
      <c r="B295" s="138"/>
      <c r="C295" s="144"/>
      <c r="D295" s="143"/>
      <c r="E295" s="140"/>
      <c r="F295" s="140"/>
      <c r="G295" s="140"/>
      <c r="H295" s="140"/>
      <c r="I295" s="140"/>
      <c r="J295" s="140"/>
      <c r="K295" s="140"/>
    </row>
    <row r="296" spans="1:11">
      <c r="A296" s="138"/>
      <c r="B296" s="138"/>
      <c r="C296" s="144"/>
      <c r="D296" s="143"/>
      <c r="E296" s="140"/>
      <c r="F296" s="140"/>
      <c r="G296" s="140"/>
      <c r="H296" s="140"/>
      <c r="I296" s="140"/>
      <c r="J296" s="140"/>
      <c r="K296" s="140"/>
    </row>
    <row r="297" spans="1:11">
      <c r="A297" s="138"/>
      <c r="B297" s="138"/>
      <c r="C297" s="144"/>
      <c r="D297" s="143"/>
      <c r="E297" s="140"/>
      <c r="F297" s="140"/>
      <c r="G297" s="140"/>
      <c r="H297" s="140"/>
      <c r="I297" s="140"/>
      <c r="J297" s="140"/>
      <c r="K297" s="140"/>
    </row>
    <row r="298" spans="1:11">
      <c r="A298" s="138"/>
      <c r="B298" s="138"/>
      <c r="C298" s="144"/>
      <c r="D298" s="143"/>
      <c r="E298" s="140"/>
      <c r="F298" s="140"/>
      <c r="G298" s="140"/>
      <c r="H298" s="140"/>
      <c r="I298" s="140"/>
      <c r="J298" s="140"/>
      <c r="K298" s="140"/>
    </row>
    <row r="299" spans="1:11">
      <c r="A299" s="138"/>
      <c r="B299" s="138"/>
      <c r="C299" s="144"/>
      <c r="D299" s="143"/>
      <c r="E299" s="140"/>
      <c r="F299" s="140"/>
      <c r="G299" s="140"/>
      <c r="H299" s="140"/>
      <c r="I299" s="140"/>
      <c r="J299" s="140"/>
      <c r="K299" s="140"/>
    </row>
    <row r="300" spans="1:11">
      <c r="A300" s="138"/>
      <c r="B300" s="138"/>
      <c r="C300" s="144"/>
      <c r="D300" s="143"/>
      <c r="E300" s="140"/>
      <c r="F300" s="140"/>
      <c r="G300" s="140"/>
      <c r="H300" s="140"/>
      <c r="I300" s="140"/>
      <c r="J300" s="140"/>
      <c r="K300" s="140"/>
    </row>
    <row r="301" spans="1:11">
      <c r="A301" s="138"/>
      <c r="B301" s="138"/>
      <c r="C301" s="144"/>
      <c r="D301" s="143"/>
      <c r="E301" s="140"/>
      <c r="F301" s="140"/>
      <c r="G301" s="140"/>
      <c r="H301" s="140"/>
      <c r="I301" s="140"/>
      <c r="J301" s="140"/>
      <c r="K301" s="140"/>
    </row>
    <row r="302" spans="1:11">
      <c r="A302" s="138"/>
      <c r="B302" s="138"/>
      <c r="C302" s="144"/>
      <c r="D302" s="143"/>
      <c r="E302" s="140"/>
      <c r="F302" s="140"/>
      <c r="G302" s="140"/>
      <c r="H302" s="140"/>
      <c r="I302" s="140"/>
      <c r="J302" s="140"/>
      <c r="K302" s="140"/>
    </row>
    <row r="303" spans="1:11">
      <c r="A303" s="138"/>
      <c r="B303" s="138"/>
      <c r="C303" s="144"/>
      <c r="D303" s="143"/>
      <c r="E303" s="140"/>
      <c r="F303" s="140"/>
      <c r="G303" s="140"/>
      <c r="H303" s="140"/>
      <c r="I303" s="140"/>
      <c r="J303" s="140"/>
      <c r="K303" s="140"/>
    </row>
    <row r="304" spans="1:11">
      <c r="A304" s="138"/>
      <c r="B304" s="138"/>
      <c r="C304" s="144"/>
      <c r="D304" s="143"/>
      <c r="E304" s="140"/>
      <c r="F304" s="140"/>
      <c r="G304" s="140"/>
      <c r="H304" s="140"/>
      <c r="I304" s="140"/>
      <c r="J304" s="140"/>
      <c r="K304" s="140"/>
    </row>
    <row r="305" spans="1:11">
      <c r="A305" s="138"/>
      <c r="B305" s="138"/>
      <c r="C305" s="144"/>
      <c r="D305" s="143"/>
      <c r="E305" s="140"/>
      <c r="F305" s="140"/>
      <c r="G305" s="140"/>
      <c r="H305" s="140"/>
      <c r="I305" s="140"/>
      <c r="J305" s="140"/>
      <c r="K305" s="140"/>
    </row>
    <row r="306" spans="1:11">
      <c r="A306" s="138"/>
      <c r="B306" s="138"/>
      <c r="C306" s="144"/>
      <c r="D306" s="143"/>
      <c r="E306" s="140"/>
      <c r="F306" s="140"/>
      <c r="G306" s="140"/>
      <c r="H306" s="140"/>
      <c r="I306" s="140"/>
      <c r="J306" s="140"/>
      <c r="K306" s="140"/>
    </row>
    <row r="307" spans="1:11">
      <c r="A307" s="138"/>
      <c r="B307" s="138"/>
      <c r="C307" s="144"/>
      <c r="D307" s="143"/>
      <c r="E307" s="140"/>
      <c r="F307" s="140"/>
      <c r="G307" s="140"/>
      <c r="H307" s="140"/>
      <c r="I307" s="140"/>
      <c r="J307" s="140"/>
      <c r="K307" s="140"/>
    </row>
    <row r="308" spans="1:11">
      <c r="A308" s="138"/>
      <c r="B308" s="138"/>
      <c r="C308" s="144"/>
      <c r="D308" s="143"/>
      <c r="E308" s="140"/>
      <c r="F308" s="140"/>
      <c r="G308" s="140"/>
      <c r="H308" s="140"/>
      <c r="I308" s="140"/>
      <c r="J308" s="140"/>
      <c r="K308" s="140"/>
    </row>
    <row r="309" spans="1:11">
      <c r="A309" s="138"/>
      <c r="B309" s="138"/>
      <c r="C309" s="144"/>
      <c r="D309" s="143"/>
      <c r="E309" s="140"/>
      <c r="F309" s="140"/>
      <c r="G309" s="140"/>
      <c r="H309" s="140"/>
      <c r="I309" s="140"/>
      <c r="J309" s="140"/>
      <c r="K309" s="140"/>
    </row>
    <row r="310" spans="1:11">
      <c r="A310" s="138"/>
      <c r="B310" s="138"/>
      <c r="C310" s="144"/>
      <c r="D310" s="143"/>
      <c r="E310" s="140"/>
      <c r="F310" s="140"/>
      <c r="G310" s="140"/>
      <c r="H310" s="140"/>
      <c r="I310" s="140"/>
      <c r="J310" s="140"/>
      <c r="K310" s="140"/>
    </row>
    <row r="311" spans="1:11">
      <c r="A311" s="138"/>
      <c r="B311" s="138"/>
      <c r="C311" s="144"/>
      <c r="D311" s="143"/>
      <c r="E311" s="140"/>
      <c r="F311" s="140"/>
      <c r="G311" s="140"/>
      <c r="H311" s="140"/>
      <c r="I311" s="140"/>
      <c r="J311" s="140"/>
      <c r="K311" s="140"/>
    </row>
    <row r="312" spans="1:11">
      <c r="A312" s="138"/>
      <c r="B312" s="138"/>
      <c r="C312" s="144"/>
      <c r="D312" s="143"/>
      <c r="E312" s="140"/>
      <c r="F312" s="140"/>
      <c r="G312" s="140"/>
      <c r="H312" s="140"/>
      <c r="I312" s="140"/>
      <c r="J312" s="140"/>
      <c r="K312" s="140"/>
    </row>
    <row r="313" spans="1:11">
      <c r="A313" s="138"/>
      <c r="B313" s="138"/>
      <c r="C313" s="144"/>
      <c r="D313" s="143"/>
      <c r="E313" s="140"/>
      <c r="F313" s="140"/>
      <c r="G313" s="140"/>
      <c r="H313" s="140"/>
      <c r="I313" s="140"/>
      <c r="J313" s="140"/>
      <c r="K313" s="140"/>
    </row>
    <row r="314" spans="1:11">
      <c r="A314" s="138"/>
      <c r="B314" s="138"/>
      <c r="C314" s="144"/>
      <c r="D314" s="143"/>
      <c r="E314" s="140"/>
      <c r="F314" s="140"/>
      <c r="G314" s="140"/>
      <c r="H314" s="140"/>
      <c r="I314" s="140"/>
      <c r="J314" s="140"/>
      <c r="K314" s="140"/>
    </row>
    <row r="315" spans="1:11">
      <c r="A315" s="138"/>
      <c r="B315" s="138"/>
      <c r="C315" s="144"/>
      <c r="D315" s="143"/>
      <c r="E315" s="140"/>
      <c r="F315" s="140"/>
      <c r="G315" s="140"/>
      <c r="H315" s="140"/>
      <c r="I315" s="140"/>
      <c r="J315" s="140"/>
      <c r="K315" s="140"/>
    </row>
    <row r="316" spans="1:11">
      <c r="A316" s="138"/>
      <c r="B316" s="138"/>
      <c r="C316" s="144"/>
      <c r="D316" s="143"/>
      <c r="E316" s="140"/>
      <c r="F316" s="140"/>
      <c r="G316" s="140"/>
      <c r="H316" s="140"/>
      <c r="I316" s="140"/>
      <c r="J316" s="140"/>
      <c r="K316" s="140"/>
    </row>
    <row r="317" spans="1:11">
      <c r="A317" s="138"/>
      <c r="B317" s="138"/>
      <c r="C317" s="144"/>
      <c r="D317" s="143"/>
      <c r="E317" s="140"/>
      <c r="F317" s="140"/>
      <c r="G317" s="140"/>
      <c r="H317" s="140"/>
      <c r="I317" s="140"/>
      <c r="J317" s="140"/>
      <c r="K317" s="140"/>
    </row>
    <row r="318" spans="1:11">
      <c r="A318" s="138"/>
      <c r="B318" s="138"/>
      <c r="C318" s="144"/>
      <c r="D318" s="143"/>
      <c r="E318" s="140"/>
      <c r="F318" s="140"/>
      <c r="G318" s="140"/>
      <c r="H318" s="140"/>
      <c r="I318" s="140"/>
      <c r="J318" s="140"/>
      <c r="K318" s="140"/>
    </row>
    <row r="319" spans="1:11">
      <c r="A319" s="138"/>
      <c r="B319" s="138"/>
      <c r="C319" s="144"/>
      <c r="D319" s="143"/>
      <c r="E319" s="140"/>
      <c r="F319" s="140"/>
      <c r="G319" s="140"/>
      <c r="H319" s="140"/>
      <c r="I319" s="140"/>
      <c r="J319" s="140"/>
      <c r="K319" s="140"/>
    </row>
    <row r="320" spans="1:11">
      <c r="A320" s="138"/>
      <c r="B320" s="138"/>
      <c r="C320" s="144"/>
      <c r="D320" s="143"/>
      <c r="E320" s="140"/>
      <c r="F320" s="140"/>
      <c r="G320" s="140"/>
      <c r="H320" s="140"/>
      <c r="I320" s="140"/>
      <c r="J320" s="140"/>
      <c r="K320" s="140"/>
    </row>
    <row r="321" spans="1:11">
      <c r="A321" s="138"/>
      <c r="B321" s="138"/>
      <c r="C321" s="144"/>
      <c r="D321" s="143"/>
      <c r="E321" s="140"/>
      <c r="F321" s="140"/>
      <c r="G321" s="140"/>
      <c r="H321" s="140"/>
      <c r="I321" s="140"/>
      <c r="J321" s="140"/>
      <c r="K321" s="140"/>
    </row>
    <row r="322" spans="1:11">
      <c r="A322" s="138"/>
      <c r="B322" s="138"/>
      <c r="C322" s="144"/>
      <c r="D322" s="143"/>
      <c r="E322" s="140"/>
      <c r="F322" s="140"/>
      <c r="G322" s="140"/>
      <c r="H322" s="140"/>
      <c r="I322" s="140"/>
      <c r="J322" s="140"/>
      <c r="K322" s="140"/>
    </row>
    <row r="323" spans="1:11">
      <c r="A323" s="138"/>
      <c r="B323" s="138"/>
      <c r="C323" s="144"/>
      <c r="D323" s="143"/>
      <c r="E323" s="140"/>
      <c r="F323" s="140"/>
      <c r="G323" s="140"/>
      <c r="H323" s="140"/>
      <c r="I323" s="140"/>
      <c r="J323" s="140"/>
      <c r="K323" s="140"/>
    </row>
    <row r="324" spans="1:11">
      <c r="A324" s="138"/>
      <c r="B324" s="138"/>
      <c r="C324" s="144"/>
      <c r="D324" s="143"/>
      <c r="E324" s="140"/>
      <c r="F324" s="140"/>
      <c r="G324" s="140"/>
      <c r="H324" s="140"/>
      <c r="I324" s="140"/>
      <c r="J324" s="140"/>
      <c r="K324" s="140"/>
    </row>
    <row r="325" spans="1:11">
      <c r="A325" s="138"/>
      <c r="B325" s="138"/>
      <c r="C325" s="144"/>
      <c r="D325" s="143"/>
      <c r="E325" s="140"/>
      <c r="F325" s="140"/>
      <c r="G325" s="140"/>
      <c r="H325" s="140"/>
      <c r="I325" s="140"/>
      <c r="J325" s="140"/>
      <c r="K325" s="140"/>
    </row>
    <row r="326" spans="1:11">
      <c r="A326" s="138"/>
      <c r="B326" s="138"/>
      <c r="C326" s="144"/>
      <c r="D326" s="143"/>
      <c r="E326" s="140"/>
      <c r="F326" s="140"/>
      <c r="G326" s="140"/>
      <c r="H326" s="140"/>
      <c r="I326" s="140"/>
      <c r="J326" s="140"/>
      <c r="K326" s="140"/>
    </row>
    <row r="327" spans="1:11">
      <c r="A327" s="138"/>
      <c r="B327" s="138"/>
      <c r="C327" s="144"/>
      <c r="D327" s="143"/>
      <c r="E327" s="140"/>
      <c r="F327" s="140"/>
      <c r="G327" s="140"/>
      <c r="H327" s="140"/>
      <c r="I327" s="140"/>
      <c r="J327" s="140"/>
      <c r="K327" s="140"/>
    </row>
    <row r="328" spans="1:11">
      <c r="A328" s="138"/>
      <c r="B328" s="138"/>
      <c r="C328" s="144"/>
      <c r="D328" s="143"/>
      <c r="E328" s="140"/>
      <c r="F328" s="140"/>
      <c r="G328" s="140"/>
      <c r="H328" s="140"/>
      <c r="I328" s="140"/>
      <c r="J328" s="140"/>
      <c r="K328" s="140"/>
    </row>
    <row r="329" spans="1:11">
      <c r="A329" s="138"/>
      <c r="B329" s="138"/>
      <c r="C329" s="144"/>
      <c r="D329" s="143"/>
      <c r="E329" s="140"/>
      <c r="F329" s="140"/>
      <c r="G329" s="140"/>
      <c r="H329" s="140"/>
      <c r="I329" s="140"/>
      <c r="J329" s="140"/>
      <c r="K329" s="140"/>
    </row>
    <row r="330" spans="1:11">
      <c r="A330" s="138"/>
      <c r="B330" s="138"/>
      <c r="C330" s="144"/>
      <c r="D330" s="143"/>
      <c r="E330" s="140"/>
      <c r="F330" s="140"/>
      <c r="G330" s="140"/>
      <c r="H330" s="140"/>
      <c r="I330" s="140"/>
      <c r="J330" s="140"/>
      <c r="K330" s="140"/>
    </row>
    <row r="331" spans="1:11">
      <c r="A331" s="138"/>
      <c r="B331" s="138"/>
      <c r="C331" s="144"/>
      <c r="D331" s="143"/>
      <c r="E331" s="140"/>
      <c r="F331" s="140"/>
      <c r="G331" s="140"/>
      <c r="H331" s="140"/>
      <c r="I331" s="140"/>
      <c r="J331" s="140"/>
      <c r="K331" s="140"/>
    </row>
    <row r="332" spans="1:11">
      <c r="A332" s="138"/>
      <c r="B332" s="138"/>
      <c r="C332" s="144"/>
      <c r="D332" s="143"/>
      <c r="E332" s="140"/>
      <c r="F332" s="140"/>
      <c r="G332" s="140"/>
      <c r="H332" s="140"/>
      <c r="I332" s="140"/>
      <c r="J332" s="140"/>
      <c r="K332" s="140"/>
    </row>
    <row r="333" spans="1:11">
      <c r="A333" s="138"/>
      <c r="B333" s="138"/>
      <c r="C333" s="144"/>
      <c r="D333" s="143"/>
      <c r="E333" s="140"/>
      <c r="F333" s="140"/>
      <c r="G333" s="140"/>
      <c r="H333" s="140"/>
      <c r="I333" s="140"/>
      <c r="J333" s="140"/>
      <c r="K333" s="140"/>
    </row>
    <row r="334" spans="1:11">
      <c r="A334" s="138"/>
      <c r="B334" s="138"/>
      <c r="C334" s="144"/>
      <c r="D334" s="143"/>
      <c r="E334" s="140"/>
      <c r="F334" s="140"/>
      <c r="G334" s="140"/>
      <c r="H334" s="140"/>
      <c r="I334" s="140"/>
      <c r="J334" s="140"/>
      <c r="K334" s="140"/>
    </row>
    <row r="335" spans="1:11">
      <c r="A335" s="138"/>
      <c r="B335" s="138"/>
      <c r="C335" s="144"/>
      <c r="D335" s="143"/>
      <c r="E335" s="140"/>
      <c r="F335" s="140"/>
      <c r="G335" s="140"/>
      <c r="H335" s="140"/>
      <c r="I335" s="140"/>
      <c r="J335" s="140"/>
      <c r="K335" s="140"/>
    </row>
    <row r="336" spans="1:11">
      <c r="A336" s="138"/>
      <c r="B336" s="138"/>
      <c r="C336" s="144"/>
      <c r="D336" s="143"/>
      <c r="E336" s="140"/>
      <c r="F336" s="140"/>
      <c r="G336" s="140"/>
      <c r="H336" s="140"/>
      <c r="I336" s="140"/>
      <c r="J336" s="140"/>
      <c r="K336" s="140"/>
    </row>
    <row r="337" spans="1:11">
      <c r="A337" s="138"/>
      <c r="B337" s="138"/>
      <c r="C337" s="144"/>
      <c r="D337" s="143"/>
      <c r="E337" s="140"/>
      <c r="F337" s="140"/>
      <c r="G337" s="140"/>
      <c r="H337" s="140"/>
      <c r="I337" s="140"/>
      <c r="J337" s="140"/>
      <c r="K337" s="140"/>
    </row>
    <row r="338" spans="1:11">
      <c r="A338" s="138"/>
      <c r="B338" s="138"/>
      <c r="C338" s="144"/>
      <c r="D338" s="143"/>
      <c r="E338" s="140"/>
      <c r="F338" s="140"/>
      <c r="G338" s="140"/>
      <c r="H338" s="140"/>
      <c r="I338" s="140"/>
      <c r="J338" s="140"/>
      <c r="K338" s="140"/>
    </row>
    <row r="339" spans="1:11">
      <c r="A339" s="138"/>
      <c r="B339" s="138"/>
      <c r="C339" s="144"/>
      <c r="D339" s="143"/>
      <c r="E339" s="140"/>
      <c r="F339" s="140"/>
      <c r="G339" s="140"/>
      <c r="H339" s="140"/>
      <c r="I339" s="140"/>
      <c r="J339" s="140"/>
      <c r="K339" s="140"/>
    </row>
    <row r="340" spans="1:11">
      <c r="A340" s="138"/>
      <c r="B340" s="138"/>
      <c r="C340" s="144"/>
      <c r="D340" s="143"/>
      <c r="E340" s="140"/>
      <c r="F340" s="140"/>
      <c r="G340" s="140"/>
      <c r="H340" s="140"/>
      <c r="I340" s="140"/>
      <c r="J340" s="140"/>
      <c r="K340" s="140"/>
    </row>
    <row r="341" spans="1:11">
      <c r="A341" s="138"/>
      <c r="B341" s="138"/>
      <c r="C341" s="144"/>
      <c r="D341" s="143"/>
      <c r="E341" s="140"/>
      <c r="F341" s="140"/>
      <c r="G341" s="140"/>
      <c r="H341" s="140"/>
      <c r="I341" s="140"/>
      <c r="J341" s="140"/>
      <c r="K341" s="140"/>
    </row>
    <row r="342" spans="1:11">
      <c r="A342" s="138"/>
      <c r="B342" s="138"/>
      <c r="C342" s="144"/>
      <c r="D342" s="143"/>
      <c r="E342" s="140"/>
      <c r="F342" s="140"/>
      <c r="G342" s="140"/>
      <c r="H342" s="140"/>
      <c r="I342" s="140"/>
      <c r="J342" s="140"/>
      <c r="K342" s="140"/>
    </row>
    <row r="343" spans="1:11">
      <c r="A343" s="138"/>
      <c r="B343" s="138"/>
      <c r="C343" s="144"/>
      <c r="D343" s="143"/>
      <c r="E343" s="140"/>
      <c r="F343" s="140"/>
      <c r="G343" s="140"/>
      <c r="H343" s="140"/>
      <c r="I343" s="140"/>
      <c r="J343" s="140"/>
      <c r="K343" s="140"/>
    </row>
    <row r="344" spans="1:11">
      <c r="A344" s="138"/>
      <c r="B344" s="138"/>
      <c r="C344" s="144"/>
      <c r="D344" s="143"/>
      <c r="E344" s="140"/>
      <c r="F344" s="140"/>
      <c r="G344" s="140"/>
      <c r="H344" s="140"/>
      <c r="I344" s="140"/>
      <c r="J344" s="140"/>
      <c r="K344" s="140"/>
    </row>
    <row r="345" spans="1:11">
      <c r="A345" s="138"/>
      <c r="B345" s="138"/>
      <c r="C345" s="144"/>
      <c r="D345" s="143"/>
      <c r="E345" s="140"/>
      <c r="F345" s="140"/>
      <c r="G345" s="140"/>
      <c r="H345" s="140"/>
      <c r="I345" s="140"/>
      <c r="J345" s="140"/>
      <c r="K345" s="140"/>
    </row>
    <row r="346" spans="1:11">
      <c r="A346" s="138"/>
      <c r="B346" s="138"/>
      <c r="C346" s="144"/>
      <c r="D346" s="143"/>
      <c r="E346" s="140"/>
      <c r="F346" s="140"/>
      <c r="G346" s="140"/>
      <c r="H346" s="140"/>
      <c r="I346" s="140"/>
      <c r="J346" s="140"/>
      <c r="K346" s="140"/>
    </row>
    <row r="347" spans="1:11">
      <c r="A347" s="138"/>
      <c r="B347" s="138"/>
      <c r="C347" s="144"/>
      <c r="D347" s="143"/>
      <c r="E347" s="140"/>
      <c r="F347" s="140"/>
      <c r="G347" s="140"/>
      <c r="H347" s="140"/>
      <c r="I347" s="140"/>
      <c r="J347" s="140"/>
      <c r="K347" s="140"/>
    </row>
    <row r="348" spans="1:11">
      <c r="A348" s="138"/>
      <c r="B348" s="138"/>
      <c r="C348" s="144"/>
      <c r="D348" s="143"/>
      <c r="E348" s="140"/>
      <c r="F348" s="140"/>
      <c r="G348" s="140"/>
      <c r="H348" s="140"/>
      <c r="I348" s="140"/>
      <c r="J348" s="140"/>
      <c r="K348" s="140"/>
    </row>
    <row r="349" spans="1:11">
      <c r="A349" s="138"/>
      <c r="B349" s="138"/>
      <c r="C349" s="144"/>
      <c r="D349" s="143"/>
      <c r="E349" s="140"/>
      <c r="F349" s="140"/>
      <c r="G349" s="140"/>
      <c r="H349" s="140"/>
      <c r="I349" s="140"/>
      <c r="J349" s="140"/>
      <c r="K349" s="140"/>
    </row>
    <row r="350" spans="1:11">
      <c r="A350" s="138"/>
      <c r="B350" s="138"/>
      <c r="C350" s="144"/>
      <c r="D350" s="143"/>
      <c r="E350" s="140"/>
      <c r="F350" s="140"/>
      <c r="G350" s="140"/>
      <c r="H350" s="140"/>
      <c r="I350" s="140"/>
      <c r="J350" s="140"/>
      <c r="K350" s="140"/>
    </row>
    <row r="351" spans="1:11">
      <c r="A351" s="138"/>
      <c r="B351" s="138"/>
      <c r="C351" s="144"/>
      <c r="D351" s="143"/>
      <c r="E351" s="140"/>
      <c r="F351" s="140"/>
      <c r="G351" s="140"/>
      <c r="H351" s="140"/>
      <c r="I351" s="140"/>
      <c r="J351" s="140"/>
      <c r="K351" s="140"/>
    </row>
    <row r="352" spans="1:11">
      <c r="A352" s="138"/>
      <c r="B352" s="138"/>
      <c r="C352" s="144"/>
      <c r="D352" s="143"/>
      <c r="E352" s="140"/>
      <c r="F352" s="140"/>
      <c r="G352" s="140"/>
      <c r="H352" s="140"/>
      <c r="I352" s="140"/>
      <c r="J352" s="140"/>
      <c r="K352" s="140"/>
    </row>
    <row r="353" spans="1:11">
      <c r="A353" s="138"/>
      <c r="B353" s="138"/>
      <c r="C353" s="144"/>
      <c r="D353" s="143"/>
      <c r="E353" s="140"/>
      <c r="F353" s="140"/>
      <c r="G353" s="140"/>
      <c r="H353" s="140"/>
      <c r="I353" s="140"/>
      <c r="J353" s="140"/>
      <c r="K353" s="140"/>
    </row>
    <row r="354" spans="1:11">
      <c r="A354" s="138"/>
      <c r="B354" s="138"/>
      <c r="C354" s="144"/>
      <c r="D354" s="143"/>
      <c r="E354" s="140"/>
      <c r="F354" s="140"/>
      <c r="G354" s="140"/>
      <c r="H354" s="140"/>
      <c r="I354" s="140"/>
      <c r="J354" s="140"/>
      <c r="K354" s="140"/>
    </row>
    <row r="355" spans="1:11">
      <c r="A355" s="138"/>
      <c r="B355" s="138"/>
      <c r="C355" s="144"/>
      <c r="D355" s="143"/>
      <c r="E355" s="140"/>
      <c r="F355" s="140"/>
      <c r="G355" s="140"/>
      <c r="H355" s="140"/>
      <c r="I355" s="140"/>
      <c r="J355" s="140"/>
      <c r="K355" s="140"/>
    </row>
    <row r="356" spans="1:11">
      <c r="A356" s="138"/>
      <c r="B356" s="138"/>
      <c r="C356" s="144"/>
      <c r="D356" s="143"/>
      <c r="E356" s="140"/>
      <c r="F356" s="140"/>
      <c r="G356" s="140"/>
      <c r="H356" s="140"/>
      <c r="I356" s="140"/>
      <c r="J356" s="140"/>
      <c r="K356" s="140"/>
    </row>
    <row r="357" spans="1:11">
      <c r="A357" s="138"/>
      <c r="B357" s="138"/>
      <c r="C357" s="144"/>
      <c r="D357" s="143"/>
      <c r="E357" s="140"/>
      <c r="F357" s="140"/>
      <c r="G357" s="140"/>
      <c r="H357" s="140"/>
      <c r="I357" s="140"/>
      <c r="J357" s="140"/>
      <c r="K357" s="140"/>
    </row>
    <row r="358" spans="1:11">
      <c r="A358" s="138"/>
      <c r="B358" s="138"/>
      <c r="C358" s="144"/>
      <c r="D358" s="143"/>
      <c r="E358" s="140"/>
      <c r="F358" s="140"/>
      <c r="G358" s="140"/>
      <c r="H358" s="140"/>
      <c r="I358" s="140"/>
      <c r="J358" s="140"/>
      <c r="K358" s="140"/>
    </row>
    <row r="359" spans="1:11">
      <c r="A359" s="138"/>
      <c r="B359" s="138"/>
      <c r="C359" s="144"/>
      <c r="D359" s="143"/>
      <c r="E359" s="140"/>
      <c r="F359" s="140"/>
      <c r="G359" s="140"/>
      <c r="H359" s="140"/>
      <c r="I359" s="140"/>
      <c r="J359" s="140"/>
      <c r="K359" s="140"/>
    </row>
    <row r="360" spans="1:11">
      <c r="A360" s="138"/>
      <c r="B360" s="138"/>
      <c r="C360" s="144"/>
      <c r="D360" s="143"/>
      <c r="E360" s="140"/>
      <c r="F360" s="140"/>
      <c r="G360" s="140"/>
      <c r="H360" s="140"/>
      <c r="I360" s="140"/>
      <c r="J360" s="140"/>
      <c r="K360" s="140"/>
    </row>
    <row r="361" spans="1:11">
      <c r="A361" s="138"/>
      <c r="B361" s="138"/>
      <c r="C361" s="144"/>
      <c r="D361" s="143"/>
      <c r="E361" s="140"/>
      <c r="F361" s="140"/>
      <c r="G361" s="140"/>
      <c r="H361" s="140"/>
      <c r="I361" s="140"/>
      <c r="J361" s="140"/>
      <c r="K361" s="140"/>
    </row>
    <row r="362" spans="1:11">
      <c r="A362" s="138"/>
      <c r="B362" s="138"/>
      <c r="C362" s="144"/>
      <c r="D362" s="143"/>
      <c r="E362" s="140"/>
      <c r="F362" s="140"/>
      <c r="G362" s="140"/>
      <c r="H362" s="140"/>
      <c r="I362" s="140"/>
      <c r="J362" s="140"/>
      <c r="K362" s="140"/>
    </row>
    <row r="363" spans="1:11">
      <c r="A363" s="138"/>
      <c r="B363" s="138"/>
      <c r="C363" s="144"/>
      <c r="D363" s="143"/>
      <c r="E363" s="140"/>
      <c r="F363" s="140"/>
      <c r="G363" s="140"/>
      <c r="H363" s="140"/>
      <c r="I363" s="140"/>
      <c r="J363" s="140"/>
      <c r="K363" s="140"/>
    </row>
    <row r="364" spans="1:11">
      <c r="A364" s="138"/>
      <c r="B364" s="138"/>
      <c r="C364" s="144"/>
      <c r="D364" s="143"/>
      <c r="E364" s="140"/>
      <c r="F364" s="140"/>
      <c r="G364" s="140"/>
      <c r="H364" s="140"/>
      <c r="I364" s="140"/>
      <c r="J364" s="140"/>
      <c r="K364" s="140"/>
    </row>
    <row r="365" spans="1:11">
      <c r="A365" s="138"/>
      <c r="B365" s="138"/>
      <c r="C365" s="144"/>
      <c r="D365" s="143"/>
      <c r="E365" s="140"/>
      <c r="F365" s="140"/>
      <c r="G365" s="140"/>
      <c r="H365" s="140"/>
      <c r="I365" s="140"/>
      <c r="J365" s="140"/>
      <c r="K365" s="140"/>
    </row>
    <row r="366" spans="1:11">
      <c r="A366" s="138"/>
      <c r="B366" s="138"/>
      <c r="C366" s="144"/>
      <c r="D366" s="143"/>
      <c r="E366" s="140"/>
      <c r="F366" s="140"/>
      <c r="G366" s="140"/>
      <c r="H366" s="140"/>
      <c r="I366" s="140"/>
      <c r="J366" s="140"/>
      <c r="K366" s="140"/>
    </row>
    <row r="367" spans="1:11">
      <c r="A367" s="138"/>
      <c r="B367" s="138"/>
      <c r="C367" s="144"/>
      <c r="D367" s="143"/>
      <c r="E367" s="140"/>
      <c r="F367" s="140"/>
      <c r="G367" s="140"/>
      <c r="H367" s="140"/>
      <c r="I367" s="140"/>
      <c r="J367" s="140"/>
      <c r="K367" s="140"/>
    </row>
    <row r="368" spans="1:11">
      <c r="A368" s="138"/>
      <c r="B368" s="138"/>
      <c r="C368" s="144"/>
      <c r="D368" s="143"/>
      <c r="E368" s="140"/>
      <c r="F368" s="140"/>
      <c r="G368" s="140"/>
      <c r="H368" s="140"/>
      <c r="I368" s="140"/>
      <c r="J368" s="140"/>
      <c r="K368" s="140"/>
    </row>
    <row r="369" spans="1:11">
      <c r="A369" s="138"/>
      <c r="B369" s="138"/>
      <c r="C369" s="144"/>
      <c r="D369" s="143"/>
      <c r="E369" s="140"/>
      <c r="F369" s="140"/>
      <c r="G369" s="140"/>
      <c r="H369" s="140"/>
      <c r="I369" s="140"/>
      <c r="J369" s="140"/>
      <c r="K369" s="140"/>
    </row>
    <row r="370" spans="1:11">
      <c r="A370" s="138"/>
      <c r="B370" s="138"/>
      <c r="C370" s="144"/>
      <c r="D370" s="143"/>
      <c r="E370" s="140"/>
      <c r="F370" s="140"/>
      <c r="G370" s="140"/>
      <c r="H370" s="140"/>
      <c r="I370" s="140"/>
      <c r="J370" s="140"/>
      <c r="K370" s="140"/>
    </row>
    <row r="371" spans="1:11">
      <c r="A371" s="138"/>
      <c r="B371" s="138"/>
      <c r="C371" s="144"/>
      <c r="D371" s="143"/>
      <c r="E371" s="140"/>
      <c r="F371" s="140"/>
      <c r="G371" s="140"/>
      <c r="H371" s="140"/>
      <c r="I371" s="140"/>
      <c r="J371" s="140"/>
      <c r="K371" s="140"/>
    </row>
    <row r="372" spans="1:11">
      <c r="A372" s="138"/>
      <c r="B372" s="138"/>
      <c r="C372" s="144"/>
      <c r="D372" s="143"/>
      <c r="E372" s="140"/>
      <c r="F372" s="140"/>
      <c r="G372" s="140"/>
      <c r="H372" s="140"/>
      <c r="I372" s="140"/>
      <c r="J372" s="140"/>
      <c r="K372" s="140"/>
    </row>
    <row r="373" spans="1:11">
      <c r="A373" s="138"/>
      <c r="B373" s="138"/>
      <c r="C373" s="144"/>
      <c r="D373" s="143"/>
      <c r="E373" s="140"/>
      <c r="F373" s="140"/>
      <c r="G373" s="140"/>
      <c r="H373" s="140"/>
      <c r="I373" s="140"/>
      <c r="J373" s="140"/>
      <c r="K373" s="140"/>
    </row>
    <row r="374" spans="1:11">
      <c r="A374" s="138"/>
      <c r="B374" s="138"/>
      <c r="C374" s="144"/>
      <c r="D374" s="143"/>
      <c r="E374" s="140"/>
      <c r="F374" s="140"/>
      <c r="G374" s="140"/>
      <c r="H374" s="140"/>
      <c r="I374" s="140"/>
      <c r="J374" s="140"/>
      <c r="K374" s="140"/>
    </row>
    <row r="375" spans="1:11">
      <c r="A375" s="138"/>
      <c r="B375" s="138"/>
      <c r="C375" s="144"/>
      <c r="D375" s="143"/>
      <c r="E375" s="140"/>
      <c r="F375" s="140"/>
      <c r="G375" s="140"/>
      <c r="H375" s="140"/>
      <c r="I375" s="140"/>
      <c r="J375" s="140"/>
      <c r="K375" s="140"/>
    </row>
    <row r="376" spans="1:11">
      <c r="A376" s="138"/>
      <c r="B376" s="138"/>
      <c r="C376" s="144"/>
      <c r="D376" s="143"/>
      <c r="E376" s="140"/>
      <c r="F376" s="140"/>
      <c r="G376" s="140"/>
      <c r="H376" s="140"/>
      <c r="I376" s="140"/>
      <c r="J376" s="140"/>
      <c r="K376" s="140"/>
    </row>
    <row r="377" spans="1:11">
      <c r="A377" s="138"/>
      <c r="B377" s="138"/>
      <c r="C377" s="144"/>
      <c r="D377" s="143"/>
      <c r="E377" s="140"/>
      <c r="F377" s="140"/>
      <c r="G377" s="140"/>
      <c r="H377" s="140"/>
      <c r="I377" s="140"/>
      <c r="J377" s="140"/>
      <c r="K377" s="140"/>
    </row>
    <row r="378" spans="1:11">
      <c r="A378" s="138"/>
      <c r="B378" s="138"/>
      <c r="C378" s="144"/>
      <c r="D378" s="143"/>
      <c r="E378" s="140"/>
      <c r="F378" s="140"/>
      <c r="G378" s="140"/>
      <c r="H378" s="140"/>
      <c r="I378" s="140"/>
      <c r="J378" s="140"/>
      <c r="K378" s="140"/>
    </row>
    <row r="379" spans="1:11">
      <c r="A379" s="138"/>
      <c r="B379" s="138"/>
      <c r="C379" s="144"/>
      <c r="D379" s="143"/>
      <c r="E379" s="140"/>
      <c r="F379" s="140"/>
      <c r="G379" s="140"/>
      <c r="H379" s="140"/>
      <c r="I379" s="140"/>
      <c r="J379" s="140"/>
      <c r="K379" s="140"/>
    </row>
    <row r="380" spans="1:11">
      <c r="A380" s="138"/>
      <c r="B380" s="138"/>
      <c r="C380" s="144"/>
      <c r="D380" s="143"/>
      <c r="E380" s="140"/>
      <c r="F380" s="140"/>
      <c r="G380" s="140"/>
      <c r="H380" s="140"/>
      <c r="I380" s="140"/>
      <c r="J380" s="140"/>
      <c r="K380" s="140"/>
    </row>
    <row r="381" spans="1:11">
      <c r="A381" s="138"/>
      <c r="B381" s="138"/>
      <c r="C381" s="144"/>
      <c r="D381" s="143"/>
      <c r="E381" s="140"/>
      <c r="F381" s="140"/>
      <c r="G381" s="140"/>
      <c r="H381" s="140"/>
      <c r="I381" s="140"/>
      <c r="J381" s="140"/>
      <c r="K381" s="140"/>
    </row>
    <row r="382" spans="1:11">
      <c r="A382" s="138"/>
      <c r="B382" s="138"/>
      <c r="C382" s="144"/>
      <c r="D382" s="143"/>
      <c r="E382" s="140"/>
      <c r="F382" s="140"/>
      <c r="G382" s="140"/>
      <c r="H382" s="140"/>
      <c r="I382" s="140"/>
      <c r="J382" s="140"/>
      <c r="K382" s="140"/>
    </row>
    <row r="383" spans="1:11">
      <c r="A383" s="138"/>
      <c r="B383" s="138"/>
      <c r="C383" s="144"/>
      <c r="D383" s="143"/>
      <c r="E383" s="140"/>
      <c r="F383" s="140"/>
      <c r="G383" s="140"/>
      <c r="H383" s="140"/>
      <c r="I383" s="140"/>
      <c r="J383" s="140"/>
      <c r="K383" s="140"/>
    </row>
    <row r="384" spans="1:11">
      <c r="A384" s="138"/>
      <c r="B384" s="138"/>
      <c r="C384" s="144"/>
      <c r="D384" s="143"/>
      <c r="E384" s="140"/>
      <c r="F384" s="140"/>
      <c r="G384" s="140"/>
      <c r="H384" s="140"/>
      <c r="I384" s="140"/>
      <c r="J384" s="140"/>
      <c r="K384" s="140"/>
    </row>
    <row r="385" spans="1:11">
      <c r="A385" s="138"/>
      <c r="B385" s="138"/>
      <c r="C385" s="144"/>
      <c r="D385" s="143"/>
      <c r="E385" s="140"/>
      <c r="F385" s="140"/>
      <c r="G385" s="140"/>
      <c r="H385" s="140"/>
      <c r="I385" s="140"/>
      <c r="J385" s="140"/>
      <c r="K385" s="140"/>
    </row>
    <row r="386" spans="1:11">
      <c r="A386" s="138"/>
      <c r="B386" s="138"/>
      <c r="C386" s="144"/>
      <c r="D386" s="143"/>
      <c r="E386" s="140"/>
      <c r="F386" s="140"/>
      <c r="G386" s="140"/>
      <c r="H386" s="140"/>
      <c r="I386" s="140"/>
      <c r="J386" s="140"/>
      <c r="K386" s="140"/>
    </row>
    <row r="387" spans="1:11">
      <c r="A387" s="138"/>
      <c r="B387" s="138"/>
      <c r="C387" s="144"/>
      <c r="D387" s="143"/>
      <c r="E387" s="140"/>
      <c r="F387" s="140"/>
      <c r="G387" s="140"/>
      <c r="H387" s="140"/>
      <c r="I387" s="140"/>
      <c r="J387" s="140"/>
      <c r="K387" s="140"/>
    </row>
    <row r="388" spans="1:11">
      <c r="A388" s="138"/>
      <c r="B388" s="138"/>
      <c r="C388" s="144"/>
      <c r="D388" s="143"/>
      <c r="E388" s="140"/>
      <c r="F388" s="140"/>
      <c r="G388" s="140"/>
      <c r="H388" s="140"/>
      <c r="I388" s="140"/>
      <c r="J388" s="140"/>
      <c r="K388" s="140"/>
    </row>
    <row r="389" spans="1:11">
      <c r="A389" s="138"/>
      <c r="B389" s="138"/>
      <c r="C389" s="144"/>
      <c r="D389" s="143"/>
      <c r="E389" s="140"/>
      <c r="F389" s="140"/>
      <c r="G389" s="140"/>
      <c r="H389" s="140"/>
      <c r="I389" s="140"/>
      <c r="J389" s="140"/>
      <c r="K389" s="140"/>
    </row>
    <row r="390" spans="1:11">
      <c r="A390" s="138"/>
      <c r="B390" s="138"/>
      <c r="C390" s="144"/>
      <c r="D390" s="143"/>
      <c r="E390" s="140"/>
      <c r="F390" s="140"/>
      <c r="G390" s="140"/>
      <c r="H390" s="140"/>
      <c r="I390" s="140"/>
      <c r="J390" s="140"/>
      <c r="K390" s="140"/>
    </row>
    <row r="391" spans="1:11">
      <c r="A391" s="138"/>
      <c r="B391" s="138"/>
      <c r="C391" s="144"/>
      <c r="D391" s="143"/>
      <c r="E391" s="140"/>
      <c r="F391" s="140"/>
      <c r="G391" s="140"/>
      <c r="H391" s="140"/>
      <c r="I391" s="140"/>
      <c r="J391" s="140"/>
      <c r="K391" s="140"/>
    </row>
    <row r="392" spans="1:11">
      <c r="A392" s="138"/>
      <c r="B392" s="138"/>
      <c r="C392" s="144"/>
      <c r="D392" s="143"/>
      <c r="E392" s="140"/>
      <c r="F392" s="140"/>
      <c r="G392" s="140"/>
      <c r="H392" s="140"/>
      <c r="I392" s="140"/>
      <c r="J392" s="140"/>
      <c r="K392" s="140"/>
    </row>
    <row r="393" spans="1:11">
      <c r="A393" s="138"/>
      <c r="B393" s="138"/>
      <c r="C393" s="144"/>
      <c r="D393" s="143"/>
      <c r="E393" s="140"/>
      <c r="F393" s="140"/>
      <c r="G393" s="140"/>
      <c r="H393" s="140"/>
      <c r="I393" s="140"/>
      <c r="J393" s="140"/>
      <c r="K393" s="140"/>
    </row>
    <row r="394" spans="1:11">
      <c r="A394" s="138"/>
      <c r="B394" s="138"/>
      <c r="C394" s="144"/>
      <c r="D394" s="143"/>
      <c r="E394" s="140"/>
      <c r="F394" s="140"/>
      <c r="G394" s="140"/>
      <c r="H394" s="140"/>
      <c r="I394" s="140"/>
      <c r="J394" s="140"/>
      <c r="K394" s="140"/>
    </row>
    <row r="395" spans="1:11">
      <c r="A395" s="138"/>
      <c r="B395" s="138"/>
      <c r="C395" s="144"/>
      <c r="D395" s="143"/>
      <c r="E395" s="140"/>
      <c r="F395" s="140"/>
      <c r="G395" s="140"/>
      <c r="H395" s="140"/>
      <c r="I395" s="140"/>
      <c r="J395" s="140"/>
      <c r="K395" s="140"/>
    </row>
    <row r="396" spans="1:11">
      <c r="A396" s="138"/>
      <c r="B396" s="138"/>
      <c r="C396" s="144"/>
      <c r="D396" s="143"/>
      <c r="E396" s="140"/>
      <c r="F396" s="140"/>
      <c r="G396" s="140"/>
      <c r="H396" s="140"/>
      <c r="I396" s="140"/>
      <c r="J396" s="140"/>
      <c r="K396" s="140"/>
    </row>
    <row r="397" spans="1:11">
      <c r="A397" s="138"/>
      <c r="B397" s="138"/>
      <c r="C397" s="144"/>
      <c r="D397" s="143"/>
      <c r="E397" s="140"/>
      <c r="F397" s="140"/>
      <c r="G397" s="140"/>
      <c r="H397" s="140"/>
      <c r="I397" s="140"/>
      <c r="J397" s="140"/>
      <c r="K397" s="140"/>
    </row>
    <row r="398" spans="1:11">
      <c r="A398" s="138"/>
      <c r="B398" s="138"/>
      <c r="C398" s="144"/>
      <c r="D398" s="143"/>
      <c r="E398" s="140"/>
      <c r="F398" s="140"/>
      <c r="G398" s="140"/>
      <c r="H398" s="140"/>
      <c r="I398" s="140"/>
      <c r="J398" s="140"/>
      <c r="K398" s="140"/>
    </row>
    <row r="399" spans="1:11">
      <c r="A399" s="138"/>
      <c r="B399" s="138"/>
      <c r="C399" s="144"/>
      <c r="D399" s="143"/>
      <c r="E399" s="140"/>
      <c r="F399" s="140"/>
      <c r="G399" s="140"/>
      <c r="H399" s="140"/>
      <c r="I399" s="140"/>
      <c r="J399" s="140"/>
      <c r="K399" s="140"/>
    </row>
    <row r="400" spans="1:11">
      <c r="A400" s="138"/>
      <c r="B400" s="138"/>
      <c r="C400" s="144"/>
      <c r="D400" s="143"/>
      <c r="E400" s="140"/>
      <c r="F400" s="140"/>
      <c r="G400" s="140"/>
      <c r="H400" s="140"/>
      <c r="I400" s="140"/>
      <c r="J400" s="140"/>
      <c r="K400" s="140"/>
    </row>
    <row r="401" spans="1:11">
      <c r="A401" s="138"/>
      <c r="B401" s="138"/>
      <c r="C401" s="144"/>
      <c r="D401" s="143"/>
      <c r="E401" s="140"/>
      <c r="F401" s="140"/>
      <c r="G401" s="140"/>
      <c r="H401" s="140"/>
      <c r="I401" s="140"/>
      <c r="J401" s="140"/>
      <c r="K401" s="140"/>
    </row>
    <row r="402" spans="1:11">
      <c r="A402" s="138"/>
      <c r="B402" s="138"/>
      <c r="C402" s="144"/>
      <c r="D402" s="143"/>
      <c r="E402" s="140"/>
      <c r="F402" s="140"/>
      <c r="G402" s="140"/>
      <c r="H402" s="140"/>
      <c r="I402" s="140"/>
      <c r="J402" s="140"/>
      <c r="K402" s="140"/>
    </row>
    <row r="403" spans="1:11">
      <c r="A403" s="138"/>
      <c r="B403" s="138"/>
      <c r="C403" s="144"/>
      <c r="D403" s="143"/>
      <c r="E403" s="140"/>
      <c r="F403" s="140"/>
      <c r="G403" s="140"/>
      <c r="H403" s="140"/>
      <c r="I403" s="140"/>
      <c r="J403" s="140"/>
      <c r="K403" s="140"/>
    </row>
    <row r="404" spans="1:11">
      <c r="A404" s="138"/>
      <c r="B404" s="138"/>
      <c r="C404" s="144"/>
      <c r="D404" s="143"/>
      <c r="E404" s="140"/>
      <c r="F404" s="140"/>
      <c r="G404" s="140"/>
      <c r="H404" s="140"/>
      <c r="I404" s="140"/>
      <c r="J404" s="140"/>
      <c r="K404" s="140"/>
    </row>
    <row r="405" spans="1:11">
      <c r="A405" s="138"/>
      <c r="B405" s="138"/>
      <c r="C405" s="144"/>
      <c r="D405" s="143"/>
      <c r="E405" s="140"/>
      <c r="F405" s="140"/>
      <c r="G405" s="140"/>
      <c r="H405" s="140"/>
      <c r="I405" s="140"/>
      <c r="J405" s="140"/>
      <c r="K405" s="140"/>
    </row>
    <row r="406" spans="1:11">
      <c r="A406" s="138"/>
      <c r="B406" s="138"/>
      <c r="C406" s="144"/>
      <c r="D406" s="143"/>
      <c r="E406" s="140"/>
      <c r="F406" s="140"/>
      <c r="G406" s="140"/>
      <c r="H406" s="140"/>
      <c r="I406" s="140"/>
      <c r="J406" s="140"/>
      <c r="K406" s="140"/>
    </row>
    <row r="407" spans="1:11">
      <c r="A407" s="138"/>
      <c r="B407" s="138"/>
      <c r="C407" s="144"/>
      <c r="D407" s="143"/>
      <c r="E407" s="140"/>
      <c r="F407" s="140"/>
      <c r="G407" s="140"/>
      <c r="H407" s="140"/>
      <c r="I407" s="140"/>
      <c r="J407" s="140"/>
      <c r="K407" s="140"/>
    </row>
    <row r="408" spans="1:11">
      <c r="A408" s="138"/>
      <c r="B408" s="138"/>
      <c r="C408" s="144"/>
      <c r="D408" s="143"/>
      <c r="E408" s="140"/>
      <c r="F408" s="140"/>
      <c r="G408" s="140"/>
      <c r="H408" s="140"/>
      <c r="I408" s="140"/>
      <c r="J408" s="140"/>
      <c r="K408" s="140"/>
    </row>
    <row r="409" spans="1:11">
      <c r="A409" s="138"/>
      <c r="B409" s="138"/>
      <c r="C409" s="144"/>
      <c r="D409" s="143"/>
      <c r="E409" s="140"/>
      <c r="F409" s="140"/>
      <c r="G409" s="140"/>
      <c r="H409" s="140"/>
      <c r="I409" s="140"/>
      <c r="J409" s="140"/>
      <c r="K409" s="140"/>
    </row>
    <row r="410" spans="1:11">
      <c r="A410" s="138"/>
      <c r="B410" s="138"/>
      <c r="C410" s="144"/>
      <c r="D410" s="143"/>
      <c r="E410" s="140"/>
      <c r="F410" s="140"/>
      <c r="G410" s="140"/>
      <c r="H410" s="140"/>
      <c r="I410" s="140"/>
      <c r="J410" s="140"/>
      <c r="K410" s="140"/>
    </row>
    <row r="411" spans="1:11">
      <c r="A411" s="138"/>
      <c r="B411" s="138"/>
      <c r="C411" s="144"/>
      <c r="D411" s="143"/>
      <c r="E411" s="140"/>
      <c r="F411" s="140"/>
      <c r="G411" s="140"/>
      <c r="H411" s="140"/>
      <c r="I411" s="140"/>
      <c r="J411" s="140"/>
      <c r="K411" s="140"/>
    </row>
    <row r="412" spans="1:11">
      <c r="A412" s="138"/>
      <c r="B412" s="138"/>
      <c r="C412" s="144"/>
      <c r="D412" s="143"/>
      <c r="E412" s="140"/>
      <c r="F412" s="140"/>
      <c r="G412" s="140"/>
      <c r="H412" s="140"/>
      <c r="I412" s="140"/>
      <c r="J412" s="140"/>
      <c r="K412" s="140"/>
    </row>
    <row r="413" spans="1:11">
      <c r="A413" s="138"/>
      <c r="B413" s="138"/>
      <c r="C413" s="144"/>
      <c r="D413" s="143"/>
      <c r="E413" s="140"/>
      <c r="F413" s="140"/>
      <c r="G413" s="140"/>
      <c r="H413" s="140"/>
      <c r="I413" s="140"/>
      <c r="J413" s="140"/>
      <c r="K413" s="140"/>
    </row>
    <row r="414" spans="1:11">
      <c r="A414" s="138"/>
      <c r="B414" s="138"/>
      <c r="C414" s="144"/>
      <c r="D414" s="143"/>
      <c r="E414" s="140"/>
      <c r="F414" s="140"/>
      <c r="G414" s="140"/>
      <c r="H414" s="140"/>
      <c r="I414" s="140"/>
      <c r="J414" s="140"/>
      <c r="K414" s="140"/>
    </row>
    <row r="415" spans="1:11">
      <c r="A415" s="138"/>
      <c r="B415" s="138"/>
      <c r="C415" s="144"/>
      <c r="D415" s="143"/>
      <c r="E415" s="140"/>
      <c r="F415" s="140"/>
      <c r="G415" s="140"/>
      <c r="H415" s="140"/>
      <c r="I415" s="140"/>
      <c r="J415" s="140"/>
      <c r="K415" s="140"/>
    </row>
    <row r="416" spans="1:11">
      <c r="A416" s="138"/>
      <c r="B416" s="138"/>
      <c r="C416" s="144"/>
      <c r="D416" s="143"/>
      <c r="E416" s="140"/>
      <c r="F416" s="140"/>
      <c r="G416" s="140"/>
      <c r="H416" s="140"/>
      <c r="I416" s="140"/>
      <c r="J416" s="140"/>
      <c r="K416" s="140"/>
    </row>
    <row r="417" spans="1:11">
      <c r="A417" s="138"/>
      <c r="B417" s="138"/>
      <c r="C417" s="144"/>
      <c r="D417" s="143"/>
      <c r="E417" s="140"/>
      <c r="F417" s="140"/>
      <c r="G417" s="140"/>
      <c r="H417" s="140"/>
      <c r="I417" s="140"/>
      <c r="J417" s="140"/>
      <c r="K417" s="140"/>
    </row>
    <row r="418" spans="1:11">
      <c r="A418" s="138"/>
      <c r="B418" s="138"/>
      <c r="C418" s="144"/>
      <c r="D418" s="143"/>
      <c r="E418" s="140"/>
      <c r="F418" s="140"/>
      <c r="G418" s="140"/>
      <c r="H418" s="140"/>
      <c r="I418" s="140"/>
      <c r="J418" s="140"/>
      <c r="K418" s="140"/>
    </row>
    <row r="419" spans="1:11">
      <c r="A419" s="138"/>
      <c r="B419" s="138"/>
      <c r="C419" s="144"/>
      <c r="D419" s="143"/>
      <c r="E419" s="140"/>
      <c r="F419" s="140"/>
      <c r="G419" s="140"/>
      <c r="H419" s="140"/>
      <c r="I419" s="140"/>
      <c r="J419" s="140"/>
      <c r="K419" s="140"/>
    </row>
    <row r="420" spans="1:11">
      <c r="A420" s="138"/>
      <c r="B420" s="138"/>
      <c r="C420" s="144"/>
      <c r="D420" s="143"/>
      <c r="E420" s="140"/>
      <c r="F420" s="140"/>
      <c r="G420" s="140"/>
      <c r="H420" s="140"/>
      <c r="I420" s="140"/>
      <c r="J420" s="140"/>
      <c r="K420" s="140"/>
    </row>
    <row r="421" spans="1:11">
      <c r="A421" s="138"/>
      <c r="B421" s="138"/>
      <c r="C421" s="144"/>
      <c r="D421" s="143"/>
      <c r="E421" s="140"/>
      <c r="F421" s="140"/>
      <c r="G421" s="140"/>
      <c r="H421" s="140"/>
      <c r="I421" s="140"/>
      <c r="J421" s="140"/>
      <c r="K421" s="140"/>
    </row>
    <row r="422" spans="1:11">
      <c r="A422" s="138"/>
      <c r="B422" s="138"/>
      <c r="C422" s="144"/>
      <c r="D422" s="143"/>
      <c r="E422" s="140"/>
      <c r="F422" s="140"/>
      <c r="G422" s="140"/>
      <c r="H422" s="140"/>
      <c r="I422" s="140"/>
      <c r="J422" s="140"/>
      <c r="K422" s="140"/>
    </row>
    <row r="423" spans="1:11">
      <c r="A423" s="138"/>
      <c r="B423" s="138"/>
      <c r="C423" s="144"/>
      <c r="D423" s="143"/>
      <c r="E423" s="140"/>
      <c r="F423" s="140"/>
      <c r="G423" s="140"/>
      <c r="H423" s="140"/>
      <c r="I423" s="140"/>
      <c r="J423" s="140"/>
      <c r="K423" s="140"/>
    </row>
    <row r="424" spans="1:11">
      <c r="A424" s="138"/>
      <c r="B424" s="138"/>
      <c r="C424" s="144"/>
      <c r="D424" s="143"/>
      <c r="E424" s="140"/>
      <c r="F424" s="140"/>
      <c r="G424" s="140"/>
      <c r="H424" s="140"/>
      <c r="I424" s="140"/>
      <c r="J424" s="140"/>
      <c r="K424" s="140"/>
    </row>
    <row r="425" spans="1:11">
      <c r="A425" s="138"/>
      <c r="B425" s="138"/>
      <c r="C425" s="144"/>
      <c r="D425" s="143"/>
      <c r="E425" s="140"/>
      <c r="F425" s="140"/>
      <c r="G425" s="140"/>
      <c r="H425" s="140"/>
      <c r="I425" s="140"/>
      <c r="J425" s="140"/>
      <c r="K425" s="140"/>
    </row>
    <row r="426" spans="1:11">
      <c r="A426" s="138"/>
      <c r="B426" s="138"/>
      <c r="C426" s="144"/>
      <c r="D426" s="143"/>
      <c r="E426" s="140"/>
      <c r="F426" s="140"/>
      <c r="G426" s="140"/>
      <c r="H426" s="140"/>
      <c r="I426" s="140"/>
      <c r="J426" s="140"/>
      <c r="K426" s="140"/>
    </row>
    <row r="427" spans="1:11">
      <c r="A427" s="138"/>
      <c r="B427" s="138"/>
      <c r="C427" s="144"/>
      <c r="D427" s="143"/>
      <c r="E427" s="140"/>
      <c r="F427" s="140"/>
      <c r="G427" s="140"/>
      <c r="H427" s="140"/>
      <c r="I427" s="140"/>
      <c r="J427" s="140"/>
      <c r="K427" s="140"/>
    </row>
    <row r="428" spans="1:11">
      <c r="A428" s="138"/>
      <c r="B428" s="138"/>
      <c r="C428" s="144"/>
      <c r="D428" s="143"/>
      <c r="E428" s="140"/>
      <c r="F428" s="140"/>
      <c r="G428" s="140"/>
      <c r="H428" s="140"/>
      <c r="I428" s="140"/>
      <c r="J428" s="140"/>
      <c r="K428" s="140"/>
    </row>
    <row r="429" spans="1:11">
      <c r="A429" s="138"/>
      <c r="B429" s="138"/>
      <c r="C429" s="144"/>
      <c r="D429" s="143"/>
      <c r="E429" s="140"/>
      <c r="F429" s="140"/>
      <c r="G429" s="140"/>
      <c r="H429" s="140"/>
      <c r="I429" s="140"/>
      <c r="J429" s="140"/>
      <c r="K429" s="140"/>
    </row>
    <row r="430" spans="1:11">
      <c r="A430" s="138"/>
      <c r="B430" s="138"/>
      <c r="C430" s="144"/>
      <c r="D430" s="143"/>
      <c r="E430" s="140"/>
      <c r="F430" s="140"/>
      <c r="G430" s="140"/>
      <c r="H430" s="140"/>
      <c r="I430" s="140"/>
      <c r="J430" s="140"/>
      <c r="K430" s="140"/>
    </row>
    <row r="431" spans="1:11">
      <c r="A431" s="138"/>
      <c r="B431" s="138"/>
      <c r="C431" s="144"/>
      <c r="D431" s="143"/>
      <c r="E431" s="140"/>
      <c r="F431" s="140"/>
      <c r="G431" s="140"/>
      <c r="H431" s="140"/>
      <c r="I431" s="140"/>
      <c r="J431" s="140"/>
      <c r="K431" s="140"/>
    </row>
    <row r="432" spans="1:11">
      <c r="A432" s="138"/>
      <c r="B432" s="138"/>
      <c r="C432" s="144"/>
      <c r="D432" s="143"/>
      <c r="E432" s="140"/>
      <c r="F432" s="140"/>
      <c r="G432" s="140"/>
      <c r="H432" s="140"/>
      <c r="I432" s="140"/>
      <c r="J432" s="140"/>
      <c r="K432" s="140"/>
    </row>
    <row r="433" spans="1:11">
      <c r="A433" s="138"/>
      <c r="B433" s="138"/>
      <c r="C433" s="144"/>
      <c r="D433" s="143"/>
      <c r="E433" s="140"/>
      <c r="F433" s="140"/>
      <c r="G433" s="140"/>
      <c r="H433" s="140"/>
      <c r="I433" s="140"/>
      <c r="J433" s="140"/>
      <c r="K433" s="140"/>
    </row>
    <row r="434" spans="1:11">
      <c r="A434" s="138"/>
      <c r="B434" s="138"/>
      <c r="C434" s="144"/>
      <c r="D434" s="143"/>
      <c r="E434" s="140"/>
      <c r="F434" s="140"/>
      <c r="G434" s="140"/>
      <c r="H434" s="140"/>
      <c r="I434" s="140"/>
      <c r="J434" s="140"/>
      <c r="K434" s="140"/>
    </row>
    <row r="435" spans="1:11">
      <c r="A435" s="138"/>
      <c r="B435" s="138"/>
      <c r="C435" s="144"/>
      <c r="D435" s="143"/>
      <c r="E435" s="140"/>
      <c r="F435" s="140"/>
      <c r="G435" s="140"/>
      <c r="H435" s="140"/>
      <c r="I435" s="140"/>
      <c r="J435" s="140"/>
      <c r="K435" s="140"/>
    </row>
    <row r="436" spans="1:11">
      <c r="A436" s="138"/>
      <c r="B436" s="138"/>
      <c r="C436" s="144"/>
      <c r="D436" s="143"/>
      <c r="E436" s="140"/>
      <c r="F436" s="140"/>
      <c r="G436" s="140"/>
      <c r="H436" s="140"/>
      <c r="I436" s="140"/>
      <c r="J436" s="140"/>
      <c r="K436" s="140"/>
    </row>
    <row r="437" spans="1:11">
      <c r="A437" s="138"/>
      <c r="B437" s="138"/>
      <c r="C437" s="144"/>
      <c r="D437" s="143"/>
      <c r="E437" s="140"/>
      <c r="F437" s="140"/>
      <c r="G437" s="140"/>
      <c r="H437" s="140"/>
      <c r="I437" s="140"/>
      <c r="J437" s="140"/>
      <c r="K437" s="140"/>
    </row>
    <row r="438" spans="1:11">
      <c r="A438" s="138"/>
      <c r="B438" s="138"/>
      <c r="C438" s="144"/>
      <c r="D438" s="143"/>
      <c r="E438" s="140"/>
      <c r="F438" s="140"/>
      <c r="G438" s="140"/>
      <c r="H438" s="140"/>
      <c r="I438" s="140"/>
      <c r="J438" s="140"/>
      <c r="K438" s="140"/>
    </row>
    <row r="439" spans="1:11">
      <c r="A439" s="138"/>
      <c r="B439" s="138"/>
      <c r="C439" s="144"/>
      <c r="D439" s="143"/>
      <c r="E439" s="140"/>
      <c r="F439" s="140"/>
      <c r="G439" s="140"/>
      <c r="H439" s="140"/>
      <c r="I439" s="140"/>
      <c r="J439" s="140"/>
      <c r="K439" s="140"/>
    </row>
    <row r="440" spans="1:11">
      <c r="A440" s="138"/>
      <c r="B440" s="138"/>
      <c r="C440" s="144"/>
      <c r="D440" s="143"/>
      <c r="E440" s="140"/>
      <c r="F440" s="140"/>
      <c r="G440" s="140"/>
      <c r="H440" s="140"/>
      <c r="I440" s="140"/>
      <c r="J440" s="140"/>
      <c r="K440" s="140"/>
    </row>
    <row r="441" spans="1:11">
      <c r="A441" s="138"/>
      <c r="B441" s="138"/>
      <c r="C441" s="144"/>
      <c r="D441" s="143"/>
      <c r="E441" s="140"/>
      <c r="F441" s="140"/>
      <c r="G441" s="140"/>
      <c r="H441" s="140"/>
      <c r="I441" s="140"/>
      <c r="J441" s="140"/>
      <c r="K441" s="140"/>
    </row>
    <row r="442" spans="1:11">
      <c r="A442" s="138"/>
      <c r="B442" s="138"/>
      <c r="C442" s="144"/>
      <c r="D442" s="143"/>
      <c r="E442" s="140"/>
      <c r="F442" s="140"/>
      <c r="G442" s="140"/>
      <c r="H442" s="140"/>
      <c r="I442" s="140"/>
      <c r="J442" s="140"/>
      <c r="K442" s="140"/>
    </row>
    <row r="443" spans="1:11">
      <c r="A443" s="138"/>
      <c r="B443" s="138"/>
      <c r="C443" s="144"/>
      <c r="D443" s="143"/>
      <c r="E443" s="140"/>
      <c r="F443" s="140"/>
      <c r="G443" s="140"/>
      <c r="H443" s="140"/>
      <c r="I443" s="140"/>
      <c r="J443" s="140"/>
      <c r="K443" s="140"/>
    </row>
    <row r="444" spans="1:11">
      <c r="A444" s="138"/>
      <c r="B444" s="138"/>
      <c r="C444" s="144"/>
      <c r="D444" s="143"/>
      <c r="E444" s="140"/>
      <c r="F444" s="140"/>
      <c r="G444" s="140"/>
      <c r="H444" s="140"/>
      <c r="I444" s="140"/>
      <c r="J444" s="140"/>
      <c r="K444" s="140"/>
    </row>
    <row r="445" spans="1:11">
      <c r="A445" s="138"/>
      <c r="B445" s="138"/>
      <c r="C445" s="144"/>
      <c r="D445" s="143"/>
      <c r="E445" s="140"/>
      <c r="F445" s="140"/>
      <c r="G445" s="140"/>
      <c r="H445" s="140"/>
      <c r="I445" s="140"/>
      <c r="J445" s="140"/>
      <c r="K445" s="140"/>
    </row>
    <row r="446" spans="1:11">
      <c r="A446" s="138"/>
      <c r="B446" s="138"/>
      <c r="C446" s="144"/>
      <c r="D446" s="143"/>
      <c r="E446" s="140"/>
      <c r="F446" s="140"/>
      <c r="G446" s="140"/>
      <c r="H446" s="140"/>
      <c r="I446" s="140"/>
      <c r="J446" s="140"/>
      <c r="K446" s="140"/>
    </row>
    <row r="447" spans="1:11">
      <c r="A447" s="138"/>
      <c r="B447" s="138"/>
      <c r="C447" s="144"/>
      <c r="D447" s="143"/>
      <c r="E447" s="140"/>
      <c r="F447" s="140"/>
      <c r="G447" s="140"/>
      <c r="H447" s="140"/>
      <c r="I447" s="140"/>
      <c r="J447" s="140"/>
      <c r="K447" s="140"/>
    </row>
    <row r="448" spans="1:11">
      <c r="A448" s="138"/>
      <c r="B448" s="138"/>
      <c r="C448" s="144"/>
      <c r="D448" s="143"/>
      <c r="E448" s="140"/>
      <c r="F448" s="140"/>
      <c r="G448" s="140"/>
      <c r="H448" s="140"/>
      <c r="I448" s="140"/>
      <c r="J448" s="140"/>
      <c r="K448" s="140"/>
    </row>
    <row r="449" spans="1:11">
      <c r="A449" s="138"/>
      <c r="B449" s="138"/>
      <c r="C449" s="144"/>
      <c r="D449" s="143"/>
      <c r="E449" s="140"/>
      <c r="F449" s="140"/>
      <c r="G449" s="140"/>
      <c r="H449" s="140"/>
      <c r="I449" s="140"/>
      <c r="J449" s="140"/>
      <c r="K449" s="140"/>
    </row>
    <row r="450" spans="1:11">
      <c r="A450" s="138"/>
      <c r="B450" s="138"/>
      <c r="C450" s="144"/>
      <c r="D450" s="143"/>
      <c r="E450" s="140"/>
      <c r="F450" s="140"/>
      <c r="G450" s="140"/>
      <c r="H450" s="140"/>
      <c r="I450" s="140"/>
      <c r="J450" s="140"/>
      <c r="K450" s="140"/>
    </row>
    <row r="451" spans="1:11">
      <c r="A451" s="138"/>
      <c r="B451" s="138"/>
      <c r="C451" s="144"/>
      <c r="D451" s="143"/>
      <c r="E451" s="140"/>
      <c r="F451" s="140"/>
      <c r="G451" s="140"/>
      <c r="H451" s="140"/>
      <c r="I451" s="140"/>
      <c r="J451" s="140"/>
      <c r="K451" s="140"/>
    </row>
    <row r="452" spans="1:11">
      <c r="A452" s="138"/>
      <c r="B452" s="138"/>
      <c r="C452" s="144"/>
      <c r="D452" s="143"/>
      <c r="E452" s="140"/>
      <c r="F452" s="140"/>
      <c r="G452" s="140"/>
      <c r="H452" s="140"/>
      <c r="I452" s="140"/>
      <c r="J452" s="140"/>
      <c r="K452" s="140"/>
    </row>
    <row r="453" spans="1:11">
      <c r="A453" s="138"/>
      <c r="B453" s="138"/>
      <c r="C453" s="144"/>
      <c r="D453" s="143"/>
      <c r="E453" s="140"/>
      <c r="F453" s="140"/>
      <c r="G453" s="140"/>
      <c r="H453" s="140"/>
      <c r="I453" s="140"/>
      <c r="J453" s="140"/>
      <c r="K453" s="140"/>
    </row>
    <row r="454" spans="1:11">
      <c r="A454" s="138"/>
      <c r="B454" s="138"/>
      <c r="C454" s="144"/>
      <c r="D454" s="143"/>
      <c r="E454" s="140"/>
      <c r="F454" s="140"/>
      <c r="G454" s="140"/>
      <c r="H454" s="140"/>
      <c r="I454" s="140"/>
      <c r="J454" s="140"/>
      <c r="K454" s="140"/>
    </row>
    <row r="455" spans="1:11">
      <c r="A455" s="138"/>
      <c r="B455" s="138"/>
      <c r="C455" s="144"/>
      <c r="D455" s="143"/>
      <c r="E455" s="140"/>
      <c r="F455" s="140"/>
      <c r="G455" s="140"/>
      <c r="H455" s="140"/>
      <c r="I455" s="140"/>
      <c r="J455" s="140"/>
      <c r="K455" s="140"/>
    </row>
    <row r="456" spans="1:11">
      <c r="A456" s="138"/>
      <c r="B456" s="138"/>
      <c r="C456" s="144"/>
      <c r="D456" s="143"/>
      <c r="E456" s="140"/>
      <c r="F456" s="140"/>
      <c r="G456" s="140"/>
      <c r="H456" s="140"/>
      <c r="I456" s="140"/>
      <c r="J456" s="140"/>
      <c r="K456" s="140"/>
    </row>
    <row r="457" spans="1:11">
      <c r="A457" s="138"/>
      <c r="B457" s="138"/>
      <c r="C457" s="144"/>
      <c r="D457" s="143"/>
      <c r="E457" s="140"/>
      <c r="F457" s="140"/>
      <c r="G457" s="140"/>
      <c r="H457" s="140"/>
      <c r="I457" s="140"/>
      <c r="J457" s="140"/>
      <c r="K457" s="140"/>
    </row>
    <row r="458" spans="1:11">
      <c r="A458" s="138"/>
      <c r="B458" s="138"/>
      <c r="C458" s="144"/>
      <c r="D458" s="143"/>
      <c r="E458" s="140"/>
      <c r="F458" s="140"/>
      <c r="G458" s="140"/>
      <c r="H458" s="140"/>
      <c r="I458" s="140"/>
      <c r="J458" s="140"/>
      <c r="K458" s="140"/>
    </row>
    <row r="459" spans="1:11">
      <c r="A459" s="138"/>
      <c r="B459" s="138"/>
      <c r="C459" s="144"/>
      <c r="D459" s="143"/>
      <c r="E459" s="140"/>
      <c r="F459" s="140"/>
      <c r="G459" s="140"/>
      <c r="H459" s="140"/>
      <c r="I459" s="140"/>
      <c r="J459" s="140"/>
      <c r="K459" s="140"/>
    </row>
    <row r="460" spans="1:11">
      <c r="A460" s="138"/>
      <c r="B460" s="138"/>
      <c r="C460" s="144"/>
      <c r="D460" s="143"/>
      <c r="E460" s="140"/>
      <c r="F460" s="140"/>
      <c r="G460" s="140"/>
      <c r="H460" s="140"/>
      <c r="I460" s="140"/>
      <c r="J460" s="140"/>
      <c r="K460" s="140"/>
    </row>
    <row r="461" spans="1:11">
      <c r="A461" s="138"/>
      <c r="B461" s="138"/>
      <c r="C461" s="144"/>
      <c r="D461" s="143"/>
      <c r="E461" s="140"/>
      <c r="F461" s="140"/>
      <c r="G461" s="140"/>
      <c r="H461" s="140"/>
      <c r="I461" s="140"/>
      <c r="J461" s="140"/>
      <c r="K461" s="140"/>
    </row>
    <row r="462" spans="1:11">
      <c r="A462" s="138"/>
      <c r="B462" s="138"/>
      <c r="C462" s="144"/>
      <c r="D462" s="143"/>
      <c r="E462" s="140"/>
      <c r="F462" s="140"/>
      <c r="G462" s="140"/>
      <c r="H462" s="140"/>
      <c r="I462" s="140"/>
      <c r="J462" s="140"/>
      <c r="K462" s="140"/>
    </row>
    <row r="463" spans="1:11">
      <c r="A463" s="138"/>
      <c r="B463" s="138"/>
      <c r="C463" s="144"/>
      <c r="D463" s="143"/>
      <c r="E463" s="140"/>
      <c r="F463" s="140"/>
      <c r="G463" s="140"/>
      <c r="H463" s="140"/>
      <c r="I463" s="140"/>
      <c r="J463" s="140"/>
      <c r="K463" s="140"/>
    </row>
    <row r="464" spans="1:11">
      <c r="A464" s="138"/>
      <c r="B464" s="138"/>
      <c r="C464" s="144"/>
      <c r="D464" s="143"/>
      <c r="E464" s="140"/>
      <c r="F464" s="140"/>
      <c r="G464" s="140"/>
      <c r="H464" s="140"/>
      <c r="I464" s="140"/>
      <c r="J464" s="140"/>
      <c r="K464" s="140"/>
    </row>
    <row r="465" spans="1:11">
      <c r="A465" s="138"/>
      <c r="B465" s="138"/>
      <c r="C465" s="144"/>
      <c r="D465" s="143"/>
      <c r="E465" s="140"/>
      <c r="F465" s="140"/>
      <c r="G465" s="140"/>
      <c r="H465" s="140"/>
      <c r="I465" s="140"/>
      <c r="J465" s="140"/>
      <c r="K465" s="140"/>
    </row>
    <row r="466" spans="1:11">
      <c r="A466" s="138"/>
      <c r="B466" s="138"/>
      <c r="C466" s="144"/>
      <c r="D466" s="143"/>
      <c r="E466" s="140"/>
      <c r="F466" s="140"/>
      <c r="G466" s="140"/>
      <c r="H466" s="140"/>
      <c r="I466" s="140"/>
      <c r="J466" s="140"/>
      <c r="K466" s="140"/>
    </row>
    <row r="467" spans="1:11">
      <c r="A467" s="138"/>
      <c r="B467" s="138"/>
      <c r="C467" s="144"/>
      <c r="D467" s="143"/>
      <c r="E467" s="140"/>
      <c r="F467" s="140"/>
      <c r="G467" s="140"/>
      <c r="H467" s="140"/>
      <c r="I467" s="140"/>
      <c r="J467" s="140"/>
      <c r="K467" s="140"/>
    </row>
    <row r="468" spans="1:11">
      <c r="A468" s="138"/>
      <c r="B468" s="138"/>
      <c r="C468" s="144"/>
      <c r="D468" s="143"/>
      <c r="E468" s="140"/>
      <c r="F468" s="140"/>
      <c r="G468" s="140"/>
      <c r="H468" s="140"/>
      <c r="I468" s="140"/>
      <c r="J468" s="140"/>
      <c r="K468" s="140"/>
    </row>
    <row r="469" spans="1:11">
      <c r="A469" s="138"/>
      <c r="B469" s="138"/>
      <c r="C469" s="144"/>
      <c r="D469" s="143"/>
      <c r="E469" s="140"/>
      <c r="F469" s="140"/>
      <c r="G469" s="140"/>
      <c r="H469" s="140"/>
      <c r="I469" s="140"/>
      <c r="J469" s="140"/>
      <c r="K469" s="140"/>
    </row>
    <row r="470" spans="1:11">
      <c r="A470" s="138"/>
      <c r="B470" s="138"/>
      <c r="C470" s="144"/>
      <c r="D470" s="143"/>
      <c r="E470" s="140"/>
      <c r="F470" s="140"/>
      <c r="G470" s="140"/>
      <c r="H470" s="140"/>
      <c r="I470" s="140"/>
      <c r="J470" s="140"/>
      <c r="K470" s="140"/>
    </row>
    <row r="471" spans="1:11">
      <c r="A471" s="138"/>
      <c r="B471" s="138"/>
      <c r="C471" s="144"/>
      <c r="D471" s="143"/>
      <c r="E471" s="140"/>
      <c r="F471" s="140"/>
      <c r="G471" s="140"/>
      <c r="H471" s="140"/>
      <c r="I471" s="140"/>
      <c r="J471" s="140"/>
      <c r="K471" s="140"/>
    </row>
    <row r="472" spans="1:11">
      <c r="A472" s="138"/>
      <c r="B472" s="138"/>
      <c r="C472" s="144"/>
      <c r="D472" s="143"/>
      <c r="E472" s="140"/>
      <c r="F472" s="140"/>
      <c r="G472" s="140"/>
      <c r="H472" s="140"/>
      <c r="I472" s="140"/>
      <c r="J472" s="140"/>
      <c r="K472" s="140"/>
    </row>
    <row r="473" spans="1:11">
      <c r="A473" s="138"/>
      <c r="B473" s="138"/>
      <c r="C473" s="144"/>
      <c r="D473" s="143"/>
      <c r="E473" s="140"/>
      <c r="F473" s="140"/>
      <c r="G473" s="140"/>
      <c r="H473" s="140"/>
      <c r="I473" s="140"/>
      <c r="J473" s="140"/>
      <c r="K473" s="140"/>
    </row>
    <row r="474" spans="1:11">
      <c r="A474" s="138"/>
      <c r="B474" s="138"/>
      <c r="C474" s="144"/>
      <c r="D474" s="143"/>
      <c r="E474" s="140"/>
      <c r="F474" s="140"/>
      <c r="G474" s="140"/>
      <c r="H474" s="140"/>
      <c r="I474" s="140"/>
      <c r="J474" s="140"/>
      <c r="K474" s="140"/>
    </row>
    <row r="475" spans="1:11">
      <c r="A475" s="138"/>
      <c r="B475" s="138"/>
      <c r="C475" s="144"/>
      <c r="D475" s="143"/>
      <c r="E475" s="140"/>
      <c r="F475" s="140"/>
      <c r="G475" s="140"/>
      <c r="H475" s="140"/>
      <c r="I475" s="140"/>
      <c r="J475" s="140"/>
      <c r="K475" s="140"/>
    </row>
    <row r="476" spans="1:11">
      <c r="A476" s="138"/>
      <c r="B476" s="138"/>
      <c r="C476" s="144"/>
      <c r="D476" s="143"/>
      <c r="E476" s="140"/>
      <c r="F476" s="140"/>
      <c r="G476" s="140"/>
      <c r="H476" s="140"/>
      <c r="I476" s="140"/>
      <c r="J476" s="140"/>
      <c r="K476" s="140"/>
    </row>
    <row r="477" spans="1:11">
      <c r="A477" s="138"/>
      <c r="B477" s="138"/>
      <c r="C477" s="144"/>
      <c r="D477" s="143"/>
      <c r="E477" s="140"/>
      <c r="F477" s="140"/>
      <c r="G477" s="140"/>
      <c r="H477" s="140"/>
      <c r="I477" s="140"/>
      <c r="J477" s="140"/>
      <c r="K477" s="140"/>
    </row>
    <row r="478" spans="1:11">
      <c r="A478" s="138"/>
      <c r="B478" s="138"/>
      <c r="C478" s="144"/>
      <c r="D478" s="143"/>
      <c r="E478" s="140"/>
      <c r="F478" s="140"/>
      <c r="G478" s="140"/>
      <c r="H478" s="140"/>
      <c r="I478" s="140"/>
      <c r="J478" s="140"/>
      <c r="K478" s="140"/>
    </row>
    <row r="479" spans="1:11">
      <c r="A479" s="138"/>
      <c r="B479" s="138"/>
      <c r="C479" s="144"/>
      <c r="D479" s="143"/>
      <c r="E479" s="140"/>
      <c r="F479" s="140"/>
      <c r="G479" s="140"/>
      <c r="H479" s="140"/>
      <c r="I479" s="140"/>
      <c r="J479" s="140"/>
      <c r="K479" s="140"/>
    </row>
    <row r="480" spans="1:11">
      <c r="A480" s="138"/>
      <c r="B480" s="138"/>
      <c r="C480" s="144"/>
      <c r="D480" s="143"/>
      <c r="E480" s="140"/>
      <c r="F480" s="140"/>
      <c r="G480" s="140"/>
      <c r="H480" s="140"/>
      <c r="I480" s="140"/>
      <c r="J480" s="140"/>
      <c r="K480" s="140"/>
    </row>
    <row r="481" spans="1:11">
      <c r="A481" s="138"/>
      <c r="B481" s="138"/>
      <c r="C481" s="144"/>
      <c r="D481" s="143"/>
      <c r="E481" s="140"/>
      <c r="F481" s="140"/>
      <c r="G481" s="140"/>
      <c r="H481" s="140"/>
      <c r="I481" s="140"/>
      <c r="J481" s="140"/>
      <c r="K481" s="140"/>
    </row>
    <row r="482" spans="1:11">
      <c r="A482" s="138"/>
      <c r="B482" s="138"/>
      <c r="C482" s="144"/>
      <c r="D482" s="143"/>
      <c r="E482" s="140"/>
      <c r="F482" s="140"/>
      <c r="G482" s="140"/>
      <c r="H482" s="140"/>
      <c r="I482" s="140"/>
      <c r="J482" s="140"/>
      <c r="K482" s="140"/>
    </row>
    <row r="483" spans="1:11">
      <c r="A483" s="138"/>
      <c r="B483" s="138"/>
      <c r="C483" s="144"/>
      <c r="D483" s="143"/>
      <c r="E483" s="140"/>
      <c r="F483" s="140"/>
      <c r="G483" s="140"/>
      <c r="H483" s="140"/>
      <c r="I483" s="140"/>
      <c r="J483" s="140"/>
      <c r="K483" s="140"/>
    </row>
    <row r="484" spans="1:11">
      <c r="A484" s="138"/>
      <c r="B484" s="138"/>
      <c r="C484" s="144"/>
      <c r="D484" s="143"/>
      <c r="E484" s="140"/>
      <c r="F484" s="140"/>
      <c r="G484" s="140"/>
      <c r="H484" s="140"/>
      <c r="I484" s="140"/>
      <c r="J484" s="140"/>
      <c r="K484" s="140"/>
    </row>
    <row r="485" spans="1:11">
      <c r="A485" s="138"/>
      <c r="B485" s="138"/>
      <c r="C485" s="144"/>
      <c r="D485" s="143"/>
      <c r="E485" s="140"/>
      <c r="F485" s="140"/>
      <c r="G485" s="140"/>
      <c r="H485" s="140"/>
      <c r="I485" s="140"/>
      <c r="J485" s="140"/>
      <c r="K485" s="140"/>
    </row>
    <row r="486" spans="1:11">
      <c r="A486" s="138"/>
      <c r="B486" s="138"/>
      <c r="C486" s="144"/>
      <c r="D486" s="143"/>
      <c r="E486" s="140"/>
      <c r="F486" s="140"/>
      <c r="G486" s="140"/>
      <c r="H486" s="140"/>
      <c r="I486" s="140"/>
      <c r="J486" s="140"/>
      <c r="K486" s="140"/>
    </row>
    <row r="487" spans="1:11">
      <c r="A487" s="138"/>
      <c r="B487" s="138"/>
      <c r="C487" s="144"/>
      <c r="D487" s="143"/>
      <c r="E487" s="140"/>
      <c r="F487" s="140"/>
      <c r="G487" s="140"/>
      <c r="H487" s="140"/>
      <c r="I487" s="140"/>
      <c r="J487" s="140"/>
      <c r="K487" s="140"/>
    </row>
    <row r="488" spans="1:11">
      <c r="A488" s="138"/>
      <c r="B488" s="138"/>
      <c r="C488" s="144"/>
      <c r="D488" s="143"/>
      <c r="E488" s="140"/>
      <c r="F488" s="140"/>
      <c r="G488" s="140"/>
      <c r="H488" s="140"/>
      <c r="I488" s="140"/>
      <c r="J488" s="140"/>
      <c r="K488" s="140"/>
    </row>
    <row r="489" spans="1:11">
      <c r="A489" s="138"/>
      <c r="B489" s="138"/>
      <c r="C489" s="144"/>
      <c r="D489" s="143"/>
      <c r="E489" s="140"/>
      <c r="F489" s="140"/>
      <c r="G489" s="140"/>
      <c r="H489" s="140"/>
      <c r="I489" s="140"/>
      <c r="J489" s="140"/>
      <c r="K489" s="140"/>
    </row>
    <row r="490" spans="1:11">
      <c r="A490" s="138"/>
      <c r="B490" s="138"/>
      <c r="C490" s="144"/>
      <c r="D490" s="143"/>
      <c r="E490" s="140"/>
      <c r="F490" s="140"/>
      <c r="G490" s="140"/>
      <c r="H490" s="140"/>
      <c r="I490" s="140"/>
      <c r="J490" s="140"/>
      <c r="K490" s="140"/>
    </row>
    <row r="491" spans="1:11">
      <c r="A491" s="138"/>
      <c r="B491" s="138"/>
      <c r="C491" s="144"/>
      <c r="D491" s="143"/>
      <c r="E491" s="140"/>
      <c r="F491" s="140"/>
      <c r="G491" s="140"/>
      <c r="H491" s="140"/>
      <c r="I491" s="140"/>
      <c r="J491" s="140"/>
      <c r="K491" s="140"/>
    </row>
    <row r="492" spans="1:11">
      <c r="A492" s="138"/>
      <c r="B492" s="138"/>
      <c r="C492" s="144"/>
      <c r="D492" s="143"/>
      <c r="E492" s="140"/>
      <c r="F492" s="140"/>
      <c r="G492" s="140"/>
      <c r="H492" s="140"/>
      <c r="I492" s="140"/>
      <c r="J492" s="140"/>
      <c r="K492" s="140"/>
    </row>
    <row r="493" spans="1:11">
      <c r="A493" s="138"/>
      <c r="B493" s="138"/>
      <c r="C493" s="144"/>
      <c r="D493" s="143"/>
      <c r="E493" s="140"/>
      <c r="F493" s="140"/>
      <c r="G493" s="140"/>
      <c r="H493" s="140"/>
      <c r="I493" s="140"/>
      <c r="J493" s="140"/>
      <c r="K493" s="140"/>
    </row>
    <row r="494" spans="1:11">
      <c r="A494" s="138"/>
      <c r="B494" s="138"/>
      <c r="C494" s="144"/>
      <c r="D494" s="143"/>
      <c r="E494" s="140"/>
      <c r="F494" s="140"/>
      <c r="G494" s="140"/>
      <c r="H494" s="140"/>
      <c r="I494" s="140"/>
      <c r="J494" s="140"/>
      <c r="K494" s="140"/>
    </row>
    <row r="495" spans="1:11">
      <c r="A495" s="138"/>
      <c r="B495" s="138"/>
      <c r="C495" s="144"/>
      <c r="D495" s="143"/>
      <c r="E495" s="140"/>
      <c r="F495" s="140"/>
      <c r="G495" s="140"/>
      <c r="H495" s="140"/>
      <c r="I495" s="140"/>
      <c r="J495" s="140"/>
      <c r="K495" s="140"/>
    </row>
    <row r="496" spans="1:11">
      <c r="A496" s="138"/>
      <c r="B496" s="138"/>
      <c r="C496" s="144"/>
      <c r="D496" s="143"/>
      <c r="E496" s="140"/>
      <c r="F496" s="140"/>
      <c r="G496" s="140"/>
      <c r="H496" s="140"/>
      <c r="I496" s="140"/>
      <c r="J496" s="140"/>
      <c r="K496" s="140"/>
    </row>
    <row r="497" spans="1:11">
      <c r="A497" s="138"/>
      <c r="B497" s="138"/>
      <c r="C497" s="144"/>
      <c r="D497" s="143"/>
      <c r="E497" s="140"/>
      <c r="F497" s="140"/>
      <c r="G497" s="140"/>
      <c r="H497" s="140"/>
      <c r="I497" s="140"/>
      <c r="J497" s="140"/>
      <c r="K497" s="140"/>
    </row>
    <row r="498" spans="1:11">
      <c r="A498" s="138"/>
      <c r="B498" s="138"/>
      <c r="C498" s="144"/>
      <c r="D498" s="143"/>
      <c r="E498" s="140"/>
      <c r="F498" s="140"/>
      <c r="G498" s="140"/>
      <c r="H498" s="140"/>
      <c r="I498" s="140"/>
      <c r="J498" s="140"/>
      <c r="K498" s="140"/>
    </row>
    <row r="499" spans="1:11">
      <c r="A499" s="138"/>
      <c r="B499" s="138"/>
      <c r="C499" s="144"/>
      <c r="D499" s="143"/>
      <c r="E499" s="140"/>
      <c r="F499" s="140"/>
      <c r="G499" s="140"/>
      <c r="H499" s="140"/>
      <c r="I499" s="140"/>
      <c r="J499" s="140"/>
      <c r="K499" s="140"/>
    </row>
    <row r="500" spans="1:11">
      <c r="A500" s="138"/>
      <c r="B500" s="138"/>
      <c r="C500" s="144"/>
      <c r="D500" s="143"/>
      <c r="E500" s="140"/>
      <c r="F500" s="140"/>
      <c r="G500" s="140"/>
      <c r="H500" s="140"/>
      <c r="I500" s="140"/>
      <c r="J500" s="140"/>
      <c r="K500" s="140"/>
    </row>
    <row r="501" spans="1:11">
      <c r="A501" s="138"/>
      <c r="B501" s="138"/>
      <c r="C501" s="144"/>
      <c r="D501" s="143"/>
      <c r="E501" s="140"/>
      <c r="F501" s="140"/>
      <c r="G501" s="140"/>
      <c r="H501" s="140"/>
      <c r="I501" s="140"/>
      <c r="J501" s="140"/>
      <c r="K501" s="140"/>
    </row>
    <row r="502" spans="1:11">
      <c r="A502" s="138"/>
      <c r="B502" s="138"/>
      <c r="C502" s="144"/>
      <c r="D502" s="143"/>
      <c r="E502" s="140"/>
      <c r="F502" s="140"/>
      <c r="G502" s="140"/>
      <c r="H502" s="140"/>
      <c r="I502" s="140"/>
      <c r="J502" s="140"/>
      <c r="K502" s="140"/>
    </row>
    <row r="503" spans="1:11">
      <c r="A503" s="138"/>
      <c r="B503" s="138"/>
      <c r="C503" s="144"/>
      <c r="D503" s="143"/>
      <c r="E503" s="140"/>
      <c r="F503" s="140"/>
      <c r="G503" s="140"/>
      <c r="H503" s="140"/>
      <c r="I503" s="140"/>
      <c r="J503" s="140"/>
      <c r="K503" s="140"/>
    </row>
    <row r="504" spans="1:11">
      <c r="A504" s="138"/>
      <c r="B504" s="138"/>
      <c r="C504" s="144"/>
      <c r="D504" s="143"/>
      <c r="E504" s="140"/>
      <c r="F504" s="140"/>
      <c r="G504" s="140"/>
      <c r="H504" s="140"/>
      <c r="I504" s="140"/>
      <c r="J504" s="140"/>
      <c r="K504" s="140"/>
    </row>
    <row r="505" spans="1:11">
      <c r="A505" s="138"/>
      <c r="B505" s="138"/>
      <c r="C505" s="144"/>
      <c r="D505" s="143"/>
      <c r="E505" s="140"/>
      <c r="F505" s="140"/>
      <c r="G505" s="140"/>
      <c r="H505" s="140"/>
      <c r="I505" s="140"/>
      <c r="J505" s="140"/>
      <c r="K505" s="140"/>
    </row>
    <row r="506" spans="1:11">
      <c r="A506" s="138"/>
      <c r="B506" s="138"/>
      <c r="C506" s="144"/>
      <c r="D506" s="143"/>
      <c r="E506" s="140"/>
      <c r="F506" s="140"/>
      <c r="G506" s="140"/>
      <c r="H506" s="140"/>
      <c r="I506" s="140"/>
      <c r="J506" s="140"/>
      <c r="K506" s="140"/>
    </row>
    <row r="507" spans="1:11">
      <c r="A507" s="138"/>
      <c r="B507" s="138"/>
      <c r="C507" s="144"/>
      <c r="D507" s="143"/>
      <c r="E507" s="140"/>
      <c r="F507" s="140"/>
      <c r="G507" s="140"/>
      <c r="H507" s="140"/>
      <c r="I507" s="140"/>
      <c r="J507" s="140"/>
      <c r="K507" s="140"/>
    </row>
    <row r="508" spans="1:11">
      <c r="A508" s="138"/>
      <c r="B508" s="138"/>
      <c r="C508" s="144"/>
      <c r="D508" s="143"/>
      <c r="E508" s="140"/>
      <c r="F508" s="140"/>
      <c r="G508" s="140"/>
      <c r="H508" s="140"/>
      <c r="I508" s="140"/>
      <c r="J508" s="140"/>
      <c r="K508" s="140"/>
    </row>
    <row r="509" spans="1:11">
      <c r="A509" s="138"/>
      <c r="B509" s="138"/>
      <c r="C509" s="144"/>
      <c r="D509" s="143"/>
      <c r="E509" s="140"/>
      <c r="F509" s="140"/>
      <c r="G509" s="140"/>
      <c r="H509" s="140"/>
      <c r="I509" s="140"/>
      <c r="J509" s="140"/>
      <c r="K509" s="140"/>
    </row>
    <row r="510" spans="1:11">
      <c r="A510" s="138"/>
      <c r="B510" s="138"/>
      <c r="C510" s="144"/>
      <c r="D510" s="143"/>
      <c r="E510" s="140"/>
      <c r="F510" s="140"/>
      <c r="G510" s="140"/>
      <c r="H510" s="140"/>
      <c r="I510" s="140"/>
      <c r="J510" s="140"/>
      <c r="K510" s="140"/>
    </row>
    <row r="511" spans="1:11">
      <c r="A511" s="138"/>
      <c r="B511" s="138"/>
      <c r="C511" s="144"/>
      <c r="D511" s="143"/>
      <c r="E511" s="140"/>
      <c r="F511" s="140"/>
      <c r="G511" s="140"/>
      <c r="H511" s="140"/>
      <c r="I511" s="140"/>
      <c r="J511" s="140"/>
      <c r="K511" s="140"/>
    </row>
    <row r="512" spans="1:11">
      <c r="A512" s="138"/>
      <c r="B512" s="138"/>
      <c r="C512" s="144"/>
      <c r="D512" s="143"/>
      <c r="E512" s="140"/>
      <c r="F512" s="140"/>
      <c r="G512" s="140"/>
      <c r="H512" s="140"/>
      <c r="I512" s="140"/>
      <c r="J512" s="140"/>
      <c r="K512" s="140"/>
    </row>
    <row r="513" spans="1:11">
      <c r="A513" s="138"/>
      <c r="B513" s="138"/>
      <c r="C513" s="144"/>
      <c r="D513" s="143"/>
      <c r="E513" s="140"/>
      <c r="F513" s="140"/>
      <c r="G513" s="140"/>
      <c r="H513" s="140"/>
      <c r="I513" s="140"/>
      <c r="J513" s="140"/>
      <c r="K513" s="140"/>
    </row>
    <row r="514" spans="1:11">
      <c r="A514" s="138"/>
      <c r="B514" s="138"/>
      <c r="C514" s="144"/>
      <c r="D514" s="143"/>
      <c r="E514" s="140"/>
      <c r="F514" s="140"/>
      <c r="G514" s="140"/>
      <c r="H514" s="140"/>
      <c r="I514" s="140"/>
      <c r="J514" s="140"/>
      <c r="K514" s="140"/>
    </row>
    <row r="515" spans="1:11">
      <c r="A515" s="138"/>
      <c r="B515" s="138"/>
      <c r="C515" s="144"/>
      <c r="D515" s="143"/>
      <c r="E515" s="140"/>
      <c r="F515" s="140"/>
      <c r="G515" s="140"/>
      <c r="H515" s="140"/>
      <c r="I515" s="140"/>
      <c r="J515" s="140"/>
      <c r="K515" s="140"/>
    </row>
    <row r="516" spans="1:11">
      <c r="A516" s="138"/>
      <c r="B516" s="138"/>
      <c r="C516" s="144"/>
      <c r="D516" s="143"/>
      <c r="E516" s="140"/>
      <c r="F516" s="140"/>
      <c r="G516" s="140"/>
      <c r="H516" s="140"/>
      <c r="I516" s="140"/>
      <c r="J516" s="140"/>
      <c r="K516" s="140"/>
    </row>
    <row r="517" spans="1:11">
      <c r="A517" s="138"/>
      <c r="B517" s="138"/>
      <c r="C517" s="144"/>
      <c r="D517" s="143"/>
      <c r="E517" s="140"/>
      <c r="F517" s="140"/>
      <c r="G517" s="140"/>
      <c r="H517" s="140"/>
      <c r="I517" s="140"/>
      <c r="J517" s="140"/>
      <c r="K517" s="140"/>
    </row>
    <row r="518" spans="1:11">
      <c r="A518" s="138"/>
      <c r="B518" s="138"/>
      <c r="C518" s="144"/>
      <c r="D518" s="143"/>
      <c r="E518" s="140"/>
      <c r="F518" s="140"/>
      <c r="G518" s="140"/>
      <c r="H518" s="140"/>
      <c r="I518" s="140"/>
      <c r="J518" s="140"/>
      <c r="K518" s="140"/>
    </row>
    <row r="519" spans="1:11">
      <c r="A519" s="138"/>
      <c r="B519" s="138"/>
      <c r="C519" s="144"/>
      <c r="D519" s="143"/>
      <c r="E519" s="140"/>
      <c r="F519" s="140"/>
      <c r="G519" s="140"/>
      <c r="H519" s="140"/>
      <c r="I519" s="140"/>
      <c r="J519" s="140"/>
      <c r="K519" s="140"/>
    </row>
    <row r="520" spans="1:11">
      <c r="A520" s="138"/>
      <c r="B520" s="138"/>
      <c r="C520" s="144"/>
      <c r="D520" s="143"/>
      <c r="E520" s="140"/>
      <c r="F520" s="140"/>
      <c r="G520" s="140"/>
      <c r="H520" s="140"/>
      <c r="I520" s="140"/>
      <c r="J520" s="140"/>
      <c r="K520" s="140"/>
    </row>
    <row r="521" spans="1:11">
      <c r="A521" s="138"/>
      <c r="B521" s="138"/>
      <c r="C521" s="144"/>
      <c r="D521" s="143"/>
      <c r="E521" s="140"/>
      <c r="F521" s="140"/>
      <c r="G521" s="140"/>
      <c r="H521" s="140"/>
      <c r="I521" s="140"/>
      <c r="J521" s="140"/>
      <c r="K521" s="140"/>
    </row>
    <row r="522" spans="1:11">
      <c r="A522" s="138"/>
      <c r="B522" s="138"/>
      <c r="C522" s="144"/>
      <c r="D522" s="143"/>
      <c r="E522" s="140"/>
      <c r="F522" s="140"/>
      <c r="G522" s="140"/>
      <c r="H522" s="140"/>
      <c r="I522" s="140"/>
      <c r="J522" s="140"/>
      <c r="K522" s="140"/>
    </row>
    <row r="523" spans="1:11">
      <c r="A523" s="138"/>
      <c r="B523" s="138"/>
      <c r="C523" s="144"/>
      <c r="D523" s="143"/>
      <c r="E523" s="140"/>
      <c r="F523" s="140"/>
      <c r="G523" s="140"/>
      <c r="H523" s="140"/>
      <c r="I523" s="140"/>
      <c r="J523" s="140"/>
      <c r="K523" s="140"/>
    </row>
    <row r="524" spans="1:11">
      <c r="A524" s="138"/>
      <c r="B524" s="138"/>
      <c r="C524" s="144"/>
      <c r="D524" s="143"/>
      <c r="E524" s="140"/>
      <c r="F524" s="140"/>
      <c r="G524" s="140"/>
      <c r="H524" s="140"/>
      <c r="I524" s="140"/>
      <c r="J524" s="140"/>
      <c r="K524" s="140"/>
    </row>
    <row r="525" spans="1:11">
      <c r="A525" s="138"/>
      <c r="B525" s="138"/>
      <c r="C525" s="144"/>
      <c r="D525" s="143"/>
      <c r="E525" s="140"/>
      <c r="F525" s="140"/>
      <c r="G525" s="140"/>
      <c r="H525" s="140"/>
      <c r="I525" s="140"/>
      <c r="J525" s="140"/>
      <c r="K525" s="140"/>
    </row>
    <row r="526" spans="1:11">
      <c r="A526" s="138"/>
      <c r="B526" s="138"/>
      <c r="C526" s="144"/>
      <c r="D526" s="143"/>
      <c r="E526" s="140"/>
      <c r="F526" s="140"/>
      <c r="G526" s="140"/>
      <c r="H526" s="140"/>
      <c r="I526" s="140"/>
      <c r="J526" s="140"/>
      <c r="K526" s="140"/>
    </row>
    <row r="527" spans="1:11">
      <c r="A527" s="138"/>
      <c r="B527" s="138"/>
      <c r="C527" s="144"/>
      <c r="D527" s="143"/>
      <c r="E527" s="140"/>
      <c r="F527" s="140"/>
      <c r="G527" s="140"/>
      <c r="H527" s="140"/>
      <c r="I527" s="140"/>
      <c r="J527" s="140"/>
      <c r="K527" s="140"/>
    </row>
    <row r="528" spans="1:11">
      <c r="A528" s="138"/>
      <c r="B528" s="138"/>
      <c r="C528" s="144"/>
      <c r="D528" s="143"/>
      <c r="E528" s="140"/>
      <c r="F528" s="140"/>
      <c r="G528" s="140"/>
      <c r="H528" s="140"/>
      <c r="I528" s="140"/>
      <c r="J528" s="140"/>
      <c r="K528" s="140"/>
    </row>
    <row r="529" spans="1:11">
      <c r="A529" s="138"/>
      <c r="B529" s="138"/>
      <c r="C529" s="144"/>
      <c r="D529" s="143"/>
      <c r="E529" s="140"/>
      <c r="F529" s="140"/>
      <c r="G529" s="140"/>
      <c r="H529" s="140"/>
      <c r="I529" s="140"/>
      <c r="J529" s="140"/>
      <c r="K529" s="140"/>
    </row>
    <row r="530" spans="1:11">
      <c r="A530" s="138"/>
      <c r="B530" s="138"/>
      <c r="C530" s="144"/>
      <c r="D530" s="143"/>
      <c r="E530" s="140"/>
      <c r="F530" s="140"/>
      <c r="G530" s="140"/>
      <c r="H530" s="140"/>
      <c r="I530" s="140"/>
      <c r="J530" s="140"/>
      <c r="K530" s="140"/>
    </row>
    <row r="531" spans="1:11">
      <c r="A531" s="138"/>
      <c r="B531" s="138"/>
      <c r="C531" s="144"/>
      <c r="D531" s="143"/>
      <c r="E531" s="140"/>
      <c r="F531" s="140"/>
      <c r="G531" s="140"/>
      <c r="H531" s="140"/>
      <c r="I531" s="140"/>
      <c r="J531" s="140"/>
      <c r="K531" s="140"/>
    </row>
    <row r="532" spans="1:11">
      <c r="A532" s="138"/>
      <c r="B532" s="138"/>
      <c r="C532" s="144"/>
      <c r="D532" s="143"/>
      <c r="E532" s="140"/>
      <c r="F532" s="140"/>
      <c r="G532" s="140"/>
      <c r="H532" s="140"/>
      <c r="I532" s="140"/>
      <c r="J532" s="140"/>
      <c r="K532" s="140"/>
    </row>
    <row r="533" spans="1:11">
      <c r="A533" s="138"/>
      <c r="B533" s="138"/>
      <c r="C533" s="144"/>
      <c r="D533" s="143"/>
      <c r="E533" s="140"/>
      <c r="F533" s="140"/>
      <c r="G533" s="140"/>
      <c r="H533" s="140"/>
      <c r="I533" s="140"/>
      <c r="J533" s="140"/>
      <c r="K533" s="140"/>
    </row>
    <row r="534" spans="1:11">
      <c r="A534" s="138"/>
      <c r="B534" s="138"/>
      <c r="C534" s="144"/>
      <c r="D534" s="143"/>
      <c r="E534" s="140"/>
      <c r="F534" s="140"/>
      <c r="G534" s="140"/>
      <c r="H534" s="140"/>
      <c r="I534" s="140"/>
      <c r="J534" s="140"/>
      <c r="K534" s="140"/>
    </row>
    <row r="535" spans="1:11">
      <c r="A535" s="138"/>
      <c r="B535" s="138"/>
      <c r="C535" s="144"/>
      <c r="D535" s="143"/>
      <c r="E535" s="140"/>
      <c r="F535" s="140"/>
      <c r="G535" s="140"/>
      <c r="H535" s="140"/>
      <c r="I535" s="140"/>
      <c r="J535" s="140"/>
      <c r="K535" s="140"/>
    </row>
    <row r="536" spans="1:11">
      <c r="A536" s="138"/>
      <c r="B536" s="138"/>
      <c r="C536" s="144"/>
      <c r="D536" s="143"/>
      <c r="E536" s="140"/>
      <c r="F536" s="140"/>
      <c r="G536" s="140"/>
      <c r="H536" s="140"/>
      <c r="I536" s="140"/>
      <c r="J536" s="140"/>
      <c r="K536" s="140"/>
    </row>
    <row r="537" spans="1:11">
      <c r="A537" s="138"/>
      <c r="B537" s="138"/>
      <c r="C537" s="144"/>
      <c r="D537" s="143"/>
      <c r="E537" s="140"/>
      <c r="F537" s="140"/>
      <c r="G537" s="140"/>
      <c r="H537" s="140"/>
      <c r="I537" s="140"/>
      <c r="J537" s="140"/>
      <c r="K537" s="140"/>
    </row>
    <row r="538" spans="1:11">
      <c r="A538" s="138"/>
      <c r="B538" s="138"/>
      <c r="C538" s="144"/>
      <c r="D538" s="143"/>
      <c r="E538" s="140"/>
      <c r="F538" s="140"/>
      <c r="G538" s="140"/>
      <c r="H538" s="140"/>
      <c r="I538" s="140"/>
      <c r="J538" s="140"/>
      <c r="K538" s="140"/>
    </row>
    <row r="539" spans="1:11">
      <c r="A539" s="138"/>
      <c r="B539" s="138"/>
      <c r="C539" s="144"/>
      <c r="D539" s="143"/>
      <c r="E539" s="140"/>
      <c r="F539" s="140"/>
      <c r="G539" s="140"/>
      <c r="H539" s="140"/>
      <c r="I539" s="140"/>
      <c r="J539" s="140"/>
      <c r="K539" s="140"/>
    </row>
    <row r="540" spans="1:11">
      <c r="A540" s="138"/>
      <c r="B540" s="138"/>
      <c r="C540" s="144"/>
      <c r="D540" s="143"/>
      <c r="E540" s="140"/>
      <c r="F540" s="140"/>
      <c r="G540" s="140"/>
      <c r="H540" s="140"/>
      <c r="I540" s="140"/>
      <c r="J540" s="140"/>
      <c r="K540" s="140"/>
    </row>
    <row r="541" spans="1:11">
      <c r="A541" s="138"/>
      <c r="B541" s="138"/>
      <c r="C541" s="144"/>
      <c r="D541" s="143"/>
      <c r="E541" s="140"/>
      <c r="F541" s="140"/>
      <c r="G541" s="140"/>
      <c r="H541" s="140"/>
      <c r="I541" s="140"/>
      <c r="J541" s="140"/>
      <c r="K541" s="140"/>
    </row>
    <row r="542" spans="1:11">
      <c r="A542" s="138"/>
      <c r="B542" s="138"/>
      <c r="C542" s="144"/>
      <c r="D542" s="143"/>
      <c r="E542" s="140"/>
      <c r="F542" s="140"/>
      <c r="G542" s="140"/>
      <c r="H542" s="140"/>
      <c r="I542" s="140"/>
      <c r="J542" s="140"/>
      <c r="K542" s="140"/>
    </row>
    <row r="543" spans="1:11">
      <c r="A543" s="138"/>
      <c r="B543" s="138"/>
      <c r="C543" s="144"/>
      <c r="D543" s="143"/>
      <c r="E543" s="140"/>
      <c r="F543" s="140"/>
      <c r="G543" s="140"/>
      <c r="H543" s="140"/>
      <c r="I543" s="140"/>
      <c r="J543" s="140"/>
      <c r="K543" s="140"/>
    </row>
    <row r="544" spans="1:11">
      <c r="A544" s="138"/>
      <c r="B544" s="138"/>
      <c r="C544" s="144"/>
      <c r="D544" s="143"/>
      <c r="E544" s="140"/>
      <c r="F544" s="140"/>
      <c r="G544" s="140"/>
      <c r="H544" s="140"/>
      <c r="I544" s="140"/>
      <c r="J544" s="140"/>
      <c r="K544" s="140"/>
    </row>
    <row r="545" spans="1:11">
      <c r="A545" s="138"/>
      <c r="B545" s="138"/>
      <c r="C545" s="144"/>
      <c r="D545" s="143"/>
      <c r="E545" s="140"/>
      <c r="F545" s="140"/>
      <c r="G545" s="140"/>
      <c r="H545" s="140"/>
      <c r="I545" s="140"/>
      <c r="J545" s="140"/>
      <c r="K545" s="140"/>
    </row>
    <row r="546" spans="1:11">
      <c r="A546" s="138"/>
      <c r="B546" s="138"/>
      <c r="C546" s="144"/>
      <c r="D546" s="143"/>
      <c r="E546" s="140"/>
      <c r="F546" s="140"/>
      <c r="G546" s="140"/>
      <c r="H546" s="140"/>
      <c r="I546" s="140"/>
      <c r="J546" s="140"/>
      <c r="K546" s="140"/>
    </row>
    <row r="547" spans="1:11">
      <c r="A547" s="138"/>
      <c r="B547" s="138"/>
      <c r="C547" s="144"/>
      <c r="D547" s="143"/>
      <c r="E547" s="140"/>
      <c r="F547" s="140"/>
      <c r="G547" s="140"/>
      <c r="H547" s="140"/>
      <c r="I547" s="140"/>
      <c r="J547" s="140"/>
      <c r="K547" s="140"/>
    </row>
    <row r="548" spans="1:11">
      <c r="A548" s="138"/>
      <c r="B548" s="138"/>
      <c r="C548" s="144"/>
      <c r="D548" s="143"/>
      <c r="E548" s="140"/>
      <c r="F548" s="140"/>
      <c r="G548" s="140"/>
      <c r="H548" s="140"/>
      <c r="I548" s="140"/>
      <c r="J548" s="140"/>
      <c r="K548" s="140"/>
    </row>
    <row r="549" spans="1:11">
      <c r="A549" s="138"/>
      <c r="B549" s="138"/>
      <c r="C549" s="144"/>
      <c r="D549" s="143"/>
      <c r="E549" s="140"/>
      <c r="F549" s="140"/>
      <c r="G549" s="140"/>
      <c r="H549" s="140"/>
      <c r="I549" s="140"/>
      <c r="J549" s="140"/>
      <c r="K549" s="140"/>
    </row>
    <row r="550" spans="1:11">
      <c r="A550" s="138"/>
      <c r="B550" s="138"/>
      <c r="C550" s="144"/>
      <c r="D550" s="143"/>
      <c r="E550" s="140"/>
      <c r="F550" s="140"/>
      <c r="G550" s="140"/>
      <c r="H550" s="140"/>
      <c r="I550" s="140"/>
      <c r="J550" s="140"/>
      <c r="K550" s="140"/>
    </row>
    <row r="551" spans="1:11">
      <c r="A551" s="138"/>
      <c r="B551" s="138"/>
      <c r="C551" s="144"/>
      <c r="D551" s="143"/>
      <c r="E551" s="140"/>
      <c r="F551" s="140"/>
      <c r="G551" s="140"/>
      <c r="H551" s="140"/>
      <c r="I551" s="140"/>
      <c r="J551" s="140"/>
      <c r="K551" s="140"/>
    </row>
    <row r="552" spans="1:11">
      <c r="A552" s="138"/>
      <c r="B552" s="138"/>
      <c r="C552" s="144"/>
      <c r="D552" s="143"/>
      <c r="E552" s="140"/>
      <c r="F552" s="140"/>
      <c r="G552" s="140"/>
      <c r="H552" s="140"/>
      <c r="I552" s="140"/>
      <c r="J552" s="140"/>
      <c r="K552" s="140"/>
    </row>
    <row r="553" spans="1:11">
      <c r="A553" s="138"/>
      <c r="B553" s="138"/>
      <c r="C553" s="144"/>
      <c r="D553" s="143"/>
      <c r="E553" s="140"/>
      <c r="F553" s="140"/>
      <c r="G553" s="140"/>
      <c r="H553" s="140"/>
      <c r="I553" s="140"/>
      <c r="J553" s="140"/>
      <c r="K553" s="140"/>
    </row>
    <row r="554" spans="1:11">
      <c r="A554" s="138"/>
      <c r="B554" s="138"/>
      <c r="C554" s="144"/>
      <c r="D554" s="143"/>
      <c r="E554" s="140"/>
      <c r="F554" s="140"/>
      <c r="G554" s="140"/>
      <c r="H554" s="140"/>
      <c r="I554" s="140"/>
      <c r="J554" s="140"/>
      <c r="K554" s="140"/>
    </row>
    <row r="555" spans="1:11">
      <c r="A555" s="138"/>
      <c r="B555" s="138"/>
      <c r="C555" s="144"/>
      <c r="D555" s="143"/>
      <c r="E555" s="140"/>
      <c r="F555" s="140"/>
      <c r="G555" s="140"/>
      <c r="H555" s="140"/>
      <c r="I555" s="140"/>
      <c r="J555" s="140"/>
      <c r="K555" s="140"/>
    </row>
    <row r="556" spans="1:11">
      <c r="A556" s="138"/>
      <c r="B556" s="138"/>
      <c r="C556" s="144"/>
      <c r="D556" s="143"/>
      <c r="E556" s="140"/>
      <c r="F556" s="140"/>
      <c r="G556" s="140"/>
      <c r="H556" s="140"/>
      <c r="I556" s="140"/>
      <c r="J556" s="140"/>
      <c r="K556" s="140"/>
    </row>
    <row r="557" spans="1:11">
      <c r="A557" s="138"/>
      <c r="B557" s="138"/>
      <c r="C557" s="144"/>
      <c r="D557" s="143"/>
      <c r="E557" s="140"/>
      <c r="F557" s="140"/>
      <c r="G557" s="140"/>
      <c r="H557" s="140"/>
      <c r="I557" s="140"/>
      <c r="J557" s="140"/>
      <c r="K557" s="140"/>
    </row>
    <row r="558" spans="1:11">
      <c r="A558" s="138"/>
      <c r="B558" s="138"/>
      <c r="C558" s="144"/>
      <c r="D558" s="143"/>
      <c r="E558" s="140"/>
      <c r="F558" s="140"/>
      <c r="G558" s="140"/>
      <c r="H558" s="140"/>
      <c r="I558" s="140"/>
      <c r="J558" s="140"/>
      <c r="K558" s="140"/>
    </row>
    <row r="559" spans="1:11">
      <c r="A559" s="138"/>
      <c r="B559" s="138"/>
      <c r="C559" s="144"/>
      <c r="D559" s="143"/>
      <c r="E559" s="140"/>
      <c r="F559" s="140"/>
      <c r="G559" s="140"/>
      <c r="H559" s="140"/>
      <c r="I559" s="140"/>
      <c r="J559" s="140"/>
      <c r="K559" s="140"/>
    </row>
    <row r="560" spans="1:11">
      <c r="A560" s="138"/>
      <c r="B560" s="138"/>
      <c r="C560" s="144"/>
      <c r="D560" s="143"/>
      <c r="E560" s="140"/>
      <c r="F560" s="140"/>
      <c r="G560" s="140"/>
      <c r="H560" s="140"/>
      <c r="I560" s="140"/>
      <c r="J560" s="140"/>
      <c r="K560" s="140"/>
    </row>
    <row r="561" spans="1:11">
      <c r="A561" s="138"/>
      <c r="B561" s="138"/>
      <c r="C561" s="144"/>
      <c r="D561" s="143"/>
      <c r="E561" s="140"/>
      <c r="F561" s="140"/>
      <c r="G561" s="140"/>
      <c r="H561" s="140"/>
      <c r="I561" s="140"/>
      <c r="J561" s="140"/>
      <c r="K561" s="140"/>
    </row>
    <row r="562" spans="1:11">
      <c r="A562" s="138"/>
      <c r="B562" s="138"/>
      <c r="C562" s="144"/>
      <c r="D562" s="143"/>
      <c r="E562" s="140"/>
      <c r="F562" s="140"/>
      <c r="G562" s="140"/>
      <c r="H562" s="140"/>
      <c r="I562" s="140"/>
      <c r="J562" s="140"/>
      <c r="K562" s="140"/>
    </row>
    <row r="563" spans="1:11">
      <c r="A563" s="138"/>
      <c r="B563" s="138"/>
      <c r="C563" s="144"/>
      <c r="D563" s="143"/>
      <c r="E563" s="140"/>
      <c r="F563" s="140"/>
      <c r="G563" s="140"/>
      <c r="H563" s="140"/>
      <c r="I563" s="140"/>
      <c r="J563" s="140"/>
      <c r="K563" s="140"/>
    </row>
    <row r="564" spans="1:11">
      <c r="A564" s="138"/>
      <c r="B564" s="138"/>
      <c r="C564" s="144"/>
      <c r="D564" s="143"/>
      <c r="E564" s="140"/>
      <c r="F564" s="140"/>
      <c r="G564" s="140"/>
      <c r="H564" s="140"/>
      <c r="I564" s="140"/>
      <c r="J564" s="140"/>
      <c r="K564" s="140"/>
    </row>
    <row r="565" spans="1:11">
      <c r="A565" s="138"/>
      <c r="B565" s="138"/>
      <c r="C565" s="144"/>
      <c r="D565" s="143"/>
      <c r="E565" s="140"/>
      <c r="F565" s="140"/>
      <c r="G565" s="140"/>
      <c r="H565" s="140"/>
      <c r="I565" s="140"/>
      <c r="J565" s="140"/>
      <c r="K565" s="140"/>
    </row>
    <row r="566" spans="1:11">
      <c r="A566" s="138"/>
      <c r="B566" s="138"/>
      <c r="C566" s="144"/>
      <c r="D566" s="143"/>
      <c r="E566" s="140"/>
      <c r="F566" s="140"/>
      <c r="G566" s="140"/>
      <c r="H566" s="140"/>
      <c r="I566" s="140"/>
      <c r="J566" s="140"/>
      <c r="K566" s="140"/>
    </row>
    <row r="567" spans="1:11">
      <c r="A567" s="138"/>
      <c r="B567" s="138"/>
      <c r="C567" s="144"/>
      <c r="D567" s="143"/>
      <c r="E567" s="140"/>
      <c r="F567" s="140"/>
      <c r="G567" s="140"/>
      <c r="H567" s="140"/>
      <c r="I567" s="140"/>
      <c r="J567" s="140"/>
      <c r="K567" s="140"/>
    </row>
    <row r="568" spans="1:11">
      <c r="A568" s="138"/>
      <c r="B568" s="138"/>
      <c r="C568" s="144"/>
      <c r="D568" s="143"/>
      <c r="E568" s="140"/>
      <c r="F568" s="140"/>
      <c r="G568" s="140"/>
      <c r="H568" s="140"/>
      <c r="I568" s="140"/>
      <c r="J568" s="140"/>
      <c r="K568" s="140"/>
    </row>
    <row r="569" spans="1:11">
      <c r="A569" s="138"/>
      <c r="B569" s="138"/>
      <c r="C569" s="144"/>
      <c r="D569" s="143"/>
      <c r="E569" s="140"/>
      <c r="F569" s="140"/>
      <c r="G569" s="140"/>
      <c r="H569" s="140"/>
      <c r="I569" s="140"/>
      <c r="J569" s="140"/>
      <c r="K569" s="140"/>
    </row>
    <row r="570" spans="1:11">
      <c r="A570" s="138"/>
      <c r="B570" s="138"/>
      <c r="C570" s="144"/>
      <c r="D570" s="143"/>
      <c r="E570" s="140"/>
      <c r="F570" s="140"/>
      <c r="G570" s="140"/>
      <c r="H570" s="140"/>
      <c r="I570" s="140"/>
      <c r="J570" s="140"/>
      <c r="K570" s="140"/>
    </row>
    <row r="571" spans="1:11">
      <c r="A571" s="138"/>
      <c r="B571" s="138"/>
      <c r="C571" s="144"/>
      <c r="D571" s="143"/>
      <c r="E571" s="140"/>
      <c r="F571" s="140"/>
      <c r="G571" s="140"/>
      <c r="H571" s="140"/>
      <c r="I571" s="140"/>
      <c r="J571" s="140"/>
      <c r="K571" s="140"/>
    </row>
    <row r="572" spans="1:11">
      <c r="A572" s="138"/>
      <c r="B572" s="138"/>
      <c r="C572" s="144"/>
      <c r="D572" s="143"/>
      <c r="E572" s="140"/>
      <c r="F572" s="140"/>
      <c r="G572" s="140"/>
      <c r="H572" s="140"/>
      <c r="I572" s="140"/>
      <c r="J572" s="140"/>
      <c r="K572" s="140"/>
    </row>
    <row r="573" spans="1:11">
      <c r="A573" s="138"/>
      <c r="B573" s="138"/>
      <c r="C573" s="144"/>
      <c r="D573" s="143"/>
      <c r="E573" s="140"/>
      <c r="F573" s="140"/>
      <c r="G573" s="140"/>
      <c r="H573" s="140"/>
      <c r="I573" s="140"/>
      <c r="J573" s="140"/>
      <c r="K573" s="140"/>
    </row>
    <row r="574" spans="1:11">
      <c r="A574" s="138"/>
      <c r="B574" s="138"/>
      <c r="C574" s="144"/>
      <c r="D574" s="143"/>
      <c r="E574" s="140"/>
      <c r="F574" s="140"/>
      <c r="G574" s="140"/>
      <c r="H574" s="140"/>
      <c r="I574" s="140"/>
      <c r="J574" s="140"/>
      <c r="K574" s="140"/>
    </row>
    <row r="575" spans="1:11">
      <c r="A575" s="138"/>
      <c r="B575" s="138"/>
      <c r="C575" s="144"/>
      <c r="D575" s="143"/>
      <c r="E575" s="140"/>
      <c r="F575" s="140"/>
      <c r="G575" s="140"/>
      <c r="H575" s="140"/>
      <c r="I575" s="140"/>
      <c r="J575" s="140"/>
      <c r="K575" s="140"/>
    </row>
    <row r="576" spans="1:11">
      <c r="A576" s="138"/>
      <c r="B576" s="138"/>
      <c r="C576" s="144"/>
      <c r="D576" s="143"/>
      <c r="E576" s="140"/>
      <c r="F576" s="140"/>
      <c r="G576" s="140"/>
      <c r="H576" s="140"/>
      <c r="I576" s="140"/>
      <c r="J576" s="140"/>
      <c r="K576" s="140"/>
    </row>
    <row r="577" spans="1:11">
      <c r="A577" s="138"/>
      <c r="B577" s="138"/>
      <c r="C577" s="144"/>
      <c r="D577" s="143"/>
      <c r="E577" s="140"/>
      <c r="F577" s="140"/>
      <c r="G577" s="140"/>
      <c r="H577" s="140"/>
      <c r="I577" s="140"/>
      <c r="J577" s="140"/>
      <c r="K577" s="140"/>
    </row>
    <row r="578" spans="1:11">
      <c r="A578" s="138"/>
      <c r="B578" s="138"/>
      <c r="C578" s="144"/>
      <c r="D578" s="143"/>
      <c r="E578" s="140"/>
      <c r="F578" s="140"/>
      <c r="G578" s="140"/>
      <c r="H578" s="140"/>
      <c r="I578" s="140"/>
      <c r="J578" s="140"/>
      <c r="K578" s="140"/>
    </row>
    <row r="579" spans="1:11">
      <c r="A579" s="138"/>
      <c r="B579" s="138"/>
      <c r="C579" s="144"/>
      <c r="D579" s="143"/>
      <c r="E579" s="140"/>
      <c r="F579" s="140"/>
      <c r="G579" s="140"/>
      <c r="H579" s="140"/>
      <c r="I579" s="140"/>
      <c r="J579" s="140"/>
      <c r="K579" s="140"/>
    </row>
    <row r="580" spans="1:11">
      <c r="A580" s="138"/>
      <c r="B580" s="138"/>
      <c r="C580" s="144"/>
      <c r="D580" s="143"/>
      <c r="E580" s="140"/>
      <c r="F580" s="140"/>
      <c r="G580" s="140"/>
      <c r="H580" s="140"/>
      <c r="I580" s="140"/>
      <c r="J580" s="140"/>
      <c r="K580" s="140"/>
    </row>
    <row r="581" spans="1:11">
      <c r="A581" s="138"/>
      <c r="B581" s="138"/>
      <c r="C581" s="144"/>
      <c r="D581" s="143"/>
      <c r="E581" s="140"/>
      <c r="F581" s="140"/>
      <c r="G581" s="140"/>
      <c r="H581" s="140"/>
      <c r="I581" s="140"/>
      <c r="J581" s="140"/>
      <c r="K581" s="140"/>
    </row>
    <row r="582" spans="1:11">
      <c r="A582" s="138"/>
      <c r="B582" s="138"/>
      <c r="C582" s="144"/>
      <c r="D582" s="143"/>
      <c r="E582" s="140"/>
      <c r="F582" s="140"/>
      <c r="G582" s="140"/>
      <c r="H582" s="140"/>
      <c r="I582" s="140"/>
      <c r="J582" s="140"/>
      <c r="K582" s="140"/>
    </row>
    <row r="583" spans="1:11">
      <c r="A583" s="138"/>
      <c r="B583" s="138"/>
      <c r="C583" s="144"/>
      <c r="D583" s="143"/>
      <c r="E583" s="140"/>
      <c r="F583" s="140"/>
      <c r="G583" s="140"/>
      <c r="H583" s="140"/>
      <c r="I583" s="140"/>
      <c r="J583" s="140"/>
      <c r="K583" s="140"/>
    </row>
    <row r="584" spans="1:11">
      <c r="A584" s="138"/>
      <c r="B584" s="138"/>
      <c r="C584" s="144"/>
      <c r="D584" s="143"/>
      <c r="E584" s="140"/>
      <c r="F584" s="140"/>
      <c r="G584" s="140"/>
      <c r="H584" s="140"/>
      <c r="I584" s="140"/>
      <c r="J584" s="140"/>
      <c r="K584" s="140"/>
    </row>
    <row r="585" spans="1:11">
      <c r="A585" s="138"/>
      <c r="B585" s="138"/>
      <c r="C585" s="144"/>
      <c r="D585" s="143"/>
      <c r="E585" s="140"/>
      <c r="F585" s="140"/>
      <c r="G585" s="140"/>
      <c r="H585" s="140"/>
      <c r="I585" s="140"/>
      <c r="J585" s="140"/>
      <c r="K585" s="140"/>
    </row>
    <row r="586" spans="1:11">
      <c r="A586" s="138"/>
      <c r="B586" s="138"/>
      <c r="C586" s="144"/>
      <c r="D586" s="143"/>
      <c r="E586" s="140"/>
      <c r="F586" s="140"/>
      <c r="G586" s="140"/>
      <c r="H586" s="140"/>
      <c r="I586" s="140"/>
      <c r="J586" s="140"/>
      <c r="K586" s="140"/>
    </row>
    <row r="587" spans="1:11">
      <c r="A587" s="138"/>
      <c r="B587" s="138"/>
      <c r="C587" s="144"/>
      <c r="D587" s="143"/>
      <c r="E587" s="140"/>
      <c r="F587" s="140"/>
      <c r="G587" s="140"/>
      <c r="H587" s="140"/>
      <c r="I587" s="140"/>
      <c r="J587" s="140"/>
      <c r="K587" s="140"/>
    </row>
    <row r="588" spans="1:11">
      <c r="A588" s="138"/>
      <c r="B588" s="138"/>
      <c r="C588" s="144"/>
      <c r="D588" s="143"/>
      <c r="E588" s="140"/>
      <c r="F588" s="140"/>
      <c r="G588" s="140"/>
      <c r="H588" s="140"/>
      <c r="I588" s="140"/>
      <c r="J588" s="140"/>
      <c r="K588" s="140"/>
    </row>
    <row r="589" spans="1:11">
      <c r="A589" s="138"/>
      <c r="B589" s="138"/>
      <c r="C589" s="144"/>
      <c r="D589" s="143"/>
      <c r="E589" s="140"/>
      <c r="F589" s="140"/>
      <c r="G589" s="140"/>
      <c r="H589" s="140"/>
      <c r="I589" s="140"/>
      <c r="J589" s="140"/>
      <c r="K589" s="140"/>
    </row>
    <row r="590" spans="1:11">
      <c r="A590" s="138"/>
      <c r="B590" s="138"/>
      <c r="C590" s="144"/>
      <c r="D590" s="143"/>
      <c r="E590" s="140"/>
      <c r="F590" s="140"/>
      <c r="G590" s="140"/>
      <c r="H590" s="140"/>
      <c r="I590" s="140"/>
      <c r="J590" s="140"/>
      <c r="K590" s="140"/>
    </row>
    <row r="591" spans="1:11">
      <c r="A591" s="138"/>
      <c r="B591" s="138"/>
      <c r="C591" s="144"/>
      <c r="D591" s="143"/>
      <c r="E591" s="140"/>
      <c r="F591" s="140"/>
      <c r="G591" s="140"/>
      <c r="H591" s="140"/>
      <c r="I591" s="140"/>
      <c r="J591" s="140"/>
      <c r="K591" s="140"/>
    </row>
    <row r="592" spans="1:11">
      <c r="A592" s="138"/>
      <c r="B592" s="138"/>
      <c r="C592" s="144"/>
      <c r="D592" s="143"/>
      <c r="E592" s="140"/>
      <c r="F592" s="140"/>
      <c r="G592" s="140"/>
      <c r="H592" s="140"/>
      <c r="I592" s="140"/>
      <c r="J592" s="140"/>
      <c r="K592" s="140"/>
    </row>
    <row r="593" spans="1:11">
      <c r="A593" s="138"/>
      <c r="B593" s="138"/>
      <c r="C593" s="144"/>
      <c r="D593" s="143"/>
      <c r="E593" s="140"/>
      <c r="F593" s="140"/>
      <c r="G593" s="140"/>
      <c r="H593" s="140"/>
      <c r="I593" s="140"/>
      <c r="J593" s="140"/>
      <c r="K593" s="140"/>
    </row>
    <row r="594" spans="1:11">
      <c r="A594" s="138"/>
      <c r="B594" s="138"/>
      <c r="C594" s="144"/>
      <c r="D594" s="143"/>
      <c r="E594" s="140"/>
      <c r="F594" s="140"/>
      <c r="G594" s="140"/>
      <c r="H594" s="140"/>
      <c r="I594" s="140"/>
      <c r="J594" s="140"/>
      <c r="K594" s="140"/>
    </row>
    <row r="595" spans="1:11">
      <c r="A595" s="138"/>
      <c r="B595" s="138"/>
      <c r="C595" s="144"/>
      <c r="D595" s="143"/>
      <c r="E595" s="140"/>
      <c r="F595" s="140"/>
      <c r="G595" s="140"/>
      <c r="H595" s="140"/>
      <c r="I595" s="140"/>
      <c r="J595" s="140"/>
      <c r="K595" s="140"/>
    </row>
    <row r="596" spans="1:11">
      <c r="A596" s="138"/>
      <c r="B596" s="138"/>
      <c r="C596" s="144"/>
      <c r="D596" s="143"/>
      <c r="E596" s="140"/>
      <c r="F596" s="140"/>
      <c r="G596" s="140"/>
      <c r="H596" s="140"/>
      <c r="I596" s="140"/>
      <c r="J596" s="140"/>
      <c r="K596" s="140"/>
    </row>
    <row r="597" spans="1:11">
      <c r="A597" s="138"/>
      <c r="B597" s="138"/>
      <c r="C597" s="144"/>
      <c r="D597" s="143"/>
      <c r="E597" s="140"/>
      <c r="F597" s="140"/>
      <c r="G597" s="140"/>
      <c r="H597" s="140"/>
      <c r="I597" s="140"/>
      <c r="J597" s="140"/>
      <c r="K597" s="140"/>
    </row>
    <row r="598" spans="1:11">
      <c r="A598" s="138"/>
      <c r="B598" s="138"/>
      <c r="C598" s="144"/>
      <c r="D598" s="143"/>
      <c r="E598" s="140"/>
      <c r="F598" s="140"/>
      <c r="G598" s="140"/>
      <c r="H598" s="140"/>
      <c r="I598" s="140"/>
      <c r="J598" s="140"/>
      <c r="K598" s="140"/>
    </row>
    <row r="599" spans="1:11">
      <c r="A599" s="138"/>
      <c r="B599" s="138"/>
      <c r="C599" s="144"/>
      <c r="D599" s="143"/>
      <c r="E599" s="140"/>
      <c r="F599" s="140"/>
      <c r="G599" s="140"/>
      <c r="H599" s="140"/>
      <c r="I599" s="140"/>
      <c r="J599" s="140"/>
      <c r="K599" s="140"/>
    </row>
    <row r="600" spans="1:11">
      <c r="A600" s="138"/>
      <c r="B600" s="138"/>
      <c r="C600" s="144"/>
      <c r="D600" s="143"/>
      <c r="E600" s="140"/>
      <c r="F600" s="140"/>
      <c r="G600" s="140"/>
      <c r="H600" s="140"/>
      <c r="I600" s="140"/>
      <c r="J600" s="140"/>
      <c r="K600" s="140"/>
    </row>
    <row r="601" spans="1:11">
      <c r="A601" s="138"/>
      <c r="B601" s="138"/>
      <c r="C601" s="144"/>
      <c r="D601" s="143"/>
      <c r="E601" s="140"/>
      <c r="F601" s="140"/>
      <c r="G601" s="140"/>
      <c r="H601" s="140"/>
      <c r="I601" s="140"/>
      <c r="J601" s="140"/>
      <c r="K601" s="140"/>
    </row>
    <row r="602" spans="1:11">
      <c r="A602" s="138"/>
      <c r="B602" s="138"/>
      <c r="C602" s="144"/>
      <c r="D602" s="143"/>
      <c r="E602" s="140"/>
      <c r="F602" s="140"/>
      <c r="G602" s="140"/>
      <c r="H602" s="140"/>
      <c r="I602" s="140"/>
      <c r="J602" s="140"/>
      <c r="K602" s="140"/>
    </row>
    <row r="603" spans="1:11">
      <c r="A603" s="138"/>
      <c r="B603" s="138"/>
      <c r="C603" s="144"/>
      <c r="D603" s="143"/>
      <c r="E603" s="140"/>
      <c r="F603" s="140"/>
      <c r="G603" s="140"/>
      <c r="H603" s="140"/>
      <c r="I603" s="140"/>
      <c r="J603" s="140"/>
      <c r="K603" s="140"/>
    </row>
    <row r="604" spans="1:11">
      <c r="A604" s="138"/>
      <c r="B604" s="138"/>
      <c r="C604" s="144"/>
      <c r="D604" s="143"/>
      <c r="E604" s="140"/>
      <c r="F604" s="140"/>
      <c r="G604" s="140"/>
      <c r="H604" s="140"/>
      <c r="I604" s="140"/>
      <c r="J604" s="140"/>
      <c r="K604" s="140"/>
    </row>
    <row r="605" spans="1:11">
      <c r="A605" s="138"/>
      <c r="B605" s="138"/>
      <c r="C605" s="144"/>
      <c r="D605" s="143"/>
      <c r="E605" s="140"/>
      <c r="F605" s="140"/>
      <c r="G605" s="140"/>
      <c r="H605" s="140"/>
      <c r="I605" s="140"/>
      <c r="J605" s="140"/>
      <c r="K605" s="140"/>
    </row>
    <row r="606" spans="1:11">
      <c r="A606" s="138"/>
      <c r="B606" s="138"/>
      <c r="C606" s="144"/>
      <c r="D606" s="143"/>
      <c r="E606" s="140"/>
      <c r="F606" s="140"/>
      <c r="G606" s="140"/>
      <c r="H606" s="140"/>
      <c r="I606" s="140"/>
      <c r="J606" s="140"/>
      <c r="K606" s="140"/>
    </row>
    <row r="607" spans="1:11">
      <c r="A607" s="138"/>
      <c r="B607" s="138"/>
      <c r="C607" s="144"/>
      <c r="D607" s="143"/>
      <c r="E607" s="140"/>
      <c r="F607" s="140"/>
      <c r="G607" s="140"/>
      <c r="H607" s="140"/>
      <c r="I607" s="140"/>
      <c r="J607" s="140"/>
      <c r="K607" s="140"/>
    </row>
    <row r="608" spans="1:11">
      <c r="A608" s="138"/>
      <c r="B608" s="138"/>
      <c r="C608" s="144"/>
      <c r="D608" s="143"/>
      <c r="E608" s="140"/>
      <c r="F608" s="140"/>
      <c r="G608" s="140"/>
      <c r="H608" s="140"/>
      <c r="I608" s="140"/>
      <c r="J608" s="140"/>
      <c r="K608" s="140"/>
    </row>
    <row r="609" spans="1:11">
      <c r="A609" s="138"/>
      <c r="B609" s="138"/>
      <c r="C609" s="144"/>
      <c r="D609" s="143"/>
      <c r="E609" s="140"/>
      <c r="F609" s="140"/>
      <c r="G609" s="140"/>
      <c r="H609" s="140"/>
      <c r="I609" s="140"/>
      <c r="J609" s="140"/>
      <c r="K609" s="140"/>
    </row>
    <row r="610" spans="1:11">
      <c r="A610" s="138"/>
      <c r="B610" s="138"/>
      <c r="C610" s="144"/>
      <c r="D610" s="143"/>
      <c r="E610" s="140"/>
      <c r="F610" s="140"/>
      <c r="G610" s="140"/>
      <c r="H610" s="140"/>
      <c r="I610" s="140"/>
      <c r="J610" s="140"/>
      <c r="K610" s="140"/>
    </row>
    <row r="611" spans="1:11">
      <c r="A611" s="138"/>
      <c r="B611" s="138"/>
      <c r="C611" s="144"/>
      <c r="D611" s="143"/>
      <c r="E611" s="140"/>
      <c r="F611" s="140"/>
      <c r="G611" s="140"/>
      <c r="H611" s="140"/>
      <c r="I611" s="140"/>
      <c r="J611" s="140"/>
      <c r="K611" s="140"/>
    </row>
    <row r="612" spans="1:11">
      <c r="A612" s="138"/>
      <c r="B612" s="138"/>
      <c r="C612" s="144"/>
      <c r="D612" s="143"/>
      <c r="E612" s="140"/>
      <c r="F612" s="140"/>
      <c r="G612" s="140"/>
      <c r="H612" s="140"/>
      <c r="I612" s="140"/>
      <c r="J612" s="140"/>
      <c r="K612" s="140"/>
    </row>
    <row r="613" spans="1:11">
      <c r="A613" s="138"/>
      <c r="B613" s="138"/>
      <c r="C613" s="144"/>
      <c r="D613" s="143"/>
      <c r="E613" s="140"/>
      <c r="F613" s="140"/>
      <c r="G613" s="140"/>
      <c r="H613" s="140"/>
      <c r="I613" s="140"/>
      <c r="J613" s="140"/>
      <c r="K613" s="140"/>
    </row>
    <row r="614" spans="1:11">
      <c r="A614" s="138"/>
      <c r="B614" s="138"/>
      <c r="C614" s="144"/>
      <c r="D614" s="143"/>
      <c r="E614" s="140"/>
      <c r="F614" s="140"/>
      <c r="G614" s="140"/>
      <c r="H614" s="140"/>
      <c r="I614" s="140"/>
      <c r="J614" s="140"/>
      <c r="K614" s="140"/>
    </row>
    <row r="615" spans="1:11">
      <c r="A615" s="138"/>
      <c r="B615" s="138"/>
      <c r="C615" s="144"/>
      <c r="D615" s="143"/>
      <c r="E615" s="140"/>
      <c r="F615" s="140"/>
      <c r="G615" s="140"/>
      <c r="H615" s="140"/>
      <c r="I615" s="140"/>
      <c r="J615" s="140"/>
      <c r="K615" s="140"/>
    </row>
    <row r="616" spans="1:11">
      <c r="A616" s="138"/>
      <c r="B616" s="138"/>
      <c r="C616" s="144"/>
      <c r="D616" s="143"/>
      <c r="E616" s="140"/>
      <c r="F616" s="140"/>
      <c r="G616" s="140"/>
      <c r="H616" s="140"/>
      <c r="I616" s="140"/>
      <c r="J616" s="140"/>
      <c r="K616" s="140"/>
    </row>
    <row r="617" spans="1:11">
      <c r="A617" s="138"/>
      <c r="B617" s="138"/>
      <c r="C617" s="144"/>
      <c r="D617" s="143"/>
      <c r="E617" s="140"/>
      <c r="F617" s="140"/>
      <c r="G617" s="140"/>
      <c r="H617" s="140"/>
      <c r="I617" s="140"/>
      <c r="J617" s="140"/>
      <c r="K617" s="140"/>
    </row>
    <row r="618" spans="1:11">
      <c r="A618" s="138"/>
      <c r="B618" s="138"/>
      <c r="C618" s="144"/>
      <c r="D618" s="143"/>
      <c r="E618" s="140"/>
      <c r="F618" s="140"/>
      <c r="G618" s="140"/>
      <c r="H618" s="140"/>
      <c r="I618" s="140"/>
      <c r="J618" s="140"/>
      <c r="K618" s="140"/>
    </row>
    <row r="619" spans="1:11">
      <c r="A619" s="138"/>
      <c r="B619" s="138"/>
      <c r="C619" s="144"/>
      <c r="D619" s="143"/>
      <c r="E619" s="140"/>
      <c r="F619" s="140"/>
      <c r="G619" s="140"/>
      <c r="H619" s="140"/>
      <c r="I619" s="140"/>
      <c r="J619" s="140"/>
      <c r="K619" s="140"/>
    </row>
    <row r="620" spans="1:11">
      <c r="A620" s="138"/>
      <c r="B620" s="138"/>
      <c r="C620" s="144"/>
      <c r="D620" s="143"/>
      <c r="E620" s="140"/>
      <c r="F620" s="140"/>
      <c r="G620" s="140"/>
      <c r="H620" s="140"/>
      <c r="I620" s="140"/>
      <c r="J620" s="140"/>
      <c r="K620" s="140"/>
    </row>
    <row r="621" spans="1:11">
      <c r="A621" s="138"/>
      <c r="B621" s="138"/>
      <c r="C621" s="144"/>
      <c r="D621" s="143"/>
      <c r="E621" s="140"/>
      <c r="F621" s="140"/>
      <c r="G621" s="140"/>
      <c r="H621" s="140"/>
      <c r="I621" s="140"/>
      <c r="J621" s="140"/>
      <c r="K621" s="140"/>
    </row>
    <row r="622" spans="1:11">
      <c r="A622" s="138"/>
      <c r="B622" s="138"/>
      <c r="C622" s="144"/>
      <c r="D622" s="143"/>
      <c r="E622" s="140"/>
      <c r="F622" s="140"/>
      <c r="G622" s="140"/>
      <c r="H622" s="140"/>
      <c r="I622" s="140"/>
      <c r="J622" s="140"/>
      <c r="K622" s="140"/>
    </row>
    <row r="623" spans="1:11">
      <c r="A623" s="138"/>
      <c r="B623" s="138"/>
      <c r="C623" s="144"/>
      <c r="D623" s="143"/>
      <c r="E623" s="140"/>
      <c r="F623" s="140"/>
      <c r="G623" s="140"/>
      <c r="H623" s="140"/>
      <c r="I623" s="140"/>
      <c r="J623" s="140"/>
      <c r="K623" s="140"/>
    </row>
    <row r="624" spans="1:11">
      <c r="A624" s="138"/>
      <c r="B624" s="138"/>
      <c r="C624" s="144"/>
      <c r="D624" s="143"/>
      <c r="E624" s="140"/>
      <c r="F624" s="140"/>
      <c r="G624" s="140"/>
      <c r="H624" s="140"/>
      <c r="I624" s="140"/>
      <c r="J624" s="140"/>
      <c r="K624" s="140"/>
    </row>
    <row r="625" spans="1:11">
      <c r="A625" s="138"/>
      <c r="B625" s="138"/>
      <c r="C625" s="144"/>
      <c r="D625" s="143"/>
      <c r="E625" s="140"/>
      <c r="F625" s="140"/>
      <c r="G625" s="140"/>
      <c r="H625" s="140"/>
      <c r="I625" s="140"/>
      <c r="J625" s="140"/>
      <c r="K625" s="140"/>
    </row>
    <row r="626" spans="1:11">
      <c r="A626" s="138"/>
      <c r="B626" s="138"/>
      <c r="C626" s="144"/>
      <c r="D626" s="143"/>
      <c r="E626" s="140"/>
      <c r="F626" s="140"/>
      <c r="G626" s="140"/>
      <c r="H626" s="140"/>
      <c r="I626" s="140"/>
      <c r="J626" s="140"/>
      <c r="K626" s="140"/>
    </row>
    <row r="627" spans="1:11">
      <c r="A627" s="138"/>
      <c r="B627" s="138"/>
      <c r="C627" s="144"/>
      <c r="D627" s="143"/>
      <c r="E627" s="140"/>
      <c r="F627" s="140"/>
      <c r="G627" s="140"/>
      <c r="H627" s="140"/>
      <c r="I627" s="140"/>
      <c r="J627" s="140"/>
      <c r="K627" s="140"/>
    </row>
    <row r="628" spans="1:11">
      <c r="A628" s="138"/>
      <c r="B628" s="138"/>
      <c r="C628" s="144"/>
      <c r="D628" s="143"/>
      <c r="E628" s="140"/>
      <c r="F628" s="140"/>
      <c r="G628" s="140"/>
      <c r="H628" s="140"/>
      <c r="I628" s="140"/>
      <c r="J628" s="140"/>
      <c r="K628" s="140"/>
    </row>
    <row r="629" spans="1:11">
      <c r="A629" s="138"/>
      <c r="B629" s="138"/>
      <c r="C629" s="144"/>
      <c r="D629" s="143"/>
      <c r="E629" s="140"/>
      <c r="F629" s="140"/>
      <c r="G629" s="140"/>
      <c r="H629" s="140"/>
      <c r="I629" s="140"/>
      <c r="J629" s="140"/>
      <c r="K629" s="140"/>
    </row>
    <row r="630" spans="1:11">
      <c r="A630" s="138"/>
      <c r="B630" s="138"/>
      <c r="C630" s="144"/>
      <c r="D630" s="143"/>
      <c r="E630" s="140"/>
      <c r="F630" s="140"/>
      <c r="G630" s="140"/>
      <c r="H630" s="140"/>
      <c r="I630" s="140"/>
      <c r="J630" s="140"/>
      <c r="K630" s="140"/>
    </row>
    <row r="631" spans="1:11">
      <c r="A631" s="138"/>
      <c r="B631" s="138"/>
      <c r="C631" s="144"/>
      <c r="D631" s="143"/>
      <c r="E631" s="140"/>
      <c r="F631" s="140"/>
      <c r="G631" s="140"/>
      <c r="H631" s="140"/>
      <c r="I631" s="140"/>
      <c r="J631" s="140"/>
      <c r="K631" s="140"/>
    </row>
    <row r="632" spans="1:11">
      <c r="A632" s="138"/>
      <c r="B632" s="138"/>
      <c r="C632" s="144"/>
      <c r="D632" s="143"/>
      <c r="E632" s="140"/>
      <c r="F632" s="140"/>
      <c r="G632" s="140"/>
      <c r="H632" s="140"/>
      <c r="I632" s="140"/>
      <c r="J632" s="140"/>
      <c r="K632" s="140"/>
    </row>
    <row r="633" spans="1:11">
      <c r="A633" s="138"/>
      <c r="B633" s="138"/>
      <c r="C633" s="144"/>
      <c r="D633" s="143"/>
      <c r="E633" s="140"/>
      <c r="F633" s="140"/>
      <c r="G633" s="140"/>
      <c r="H633" s="140"/>
      <c r="I633" s="140"/>
      <c r="J633" s="140"/>
      <c r="K633" s="140"/>
    </row>
    <row r="634" spans="1:11">
      <c r="A634" s="138"/>
      <c r="B634" s="138"/>
      <c r="C634" s="144"/>
      <c r="D634" s="143"/>
      <c r="E634" s="140"/>
      <c r="F634" s="140"/>
      <c r="G634" s="140"/>
      <c r="H634" s="140"/>
      <c r="I634" s="140"/>
      <c r="J634" s="140"/>
      <c r="K634" s="140"/>
    </row>
    <row r="635" spans="1:11">
      <c r="A635" s="138"/>
      <c r="B635" s="138"/>
      <c r="C635" s="144"/>
      <c r="D635" s="143"/>
      <c r="E635" s="140"/>
      <c r="F635" s="140"/>
      <c r="G635" s="140"/>
      <c r="H635" s="140"/>
      <c r="I635" s="140"/>
      <c r="J635" s="140"/>
      <c r="K635" s="140"/>
    </row>
    <row r="636" spans="1:11">
      <c r="A636" s="138"/>
      <c r="B636" s="138"/>
      <c r="C636" s="144"/>
      <c r="D636" s="143"/>
      <c r="E636" s="140"/>
      <c r="F636" s="140"/>
      <c r="G636" s="140"/>
      <c r="H636" s="140"/>
      <c r="I636" s="140"/>
      <c r="J636" s="140"/>
      <c r="K636" s="140"/>
    </row>
    <row r="637" spans="1:11">
      <c r="A637" s="138"/>
      <c r="B637" s="138"/>
      <c r="C637" s="144"/>
      <c r="D637" s="143"/>
      <c r="E637" s="140"/>
      <c r="F637" s="140"/>
      <c r="G637" s="140"/>
      <c r="H637" s="140"/>
      <c r="I637" s="140"/>
      <c r="J637" s="140"/>
      <c r="K637" s="140"/>
    </row>
    <row r="638" spans="1:11">
      <c r="A638" s="138"/>
      <c r="B638" s="138"/>
      <c r="C638" s="144"/>
      <c r="D638" s="143"/>
      <c r="E638" s="140"/>
      <c r="F638" s="140"/>
      <c r="G638" s="140"/>
      <c r="H638" s="140"/>
      <c r="I638" s="140"/>
      <c r="J638" s="140"/>
      <c r="K638" s="140"/>
    </row>
    <row r="639" spans="1:11">
      <c r="A639" s="138"/>
      <c r="B639" s="138"/>
      <c r="C639" s="144"/>
      <c r="D639" s="143"/>
      <c r="E639" s="140"/>
      <c r="F639" s="140"/>
      <c r="G639" s="140"/>
      <c r="H639" s="140"/>
      <c r="I639" s="140"/>
      <c r="J639" s="140"/>
      <c r="K639" s="140"/>
    </row>
    <row r="640" spans="1:11">
      <c r="A640" s="138"/>
      <c r="B640" s="138"/>
      <c r="C640" s="144"/>
      <c r="D640" s="143"/>
      <c r="E640" s="140"/>
      <c r="F640" s="140"/>
      <c r="G640" s="140"/>
      <c r="H640" s="140"/>
      <c r="I640" s="140"/>
      <c r="J640" s="140"/>
      <c r="K640" s="140"/>
    </row>
    <row r="641" spans="1:11">
      <c r="A641" s="138"/>
      <c r="B641" s="138"/>
      <c r="C641" s="144"/>
      <c r="D641" s="143"/>
      <c r="E641" s="140"/>
      <c r="F641" s="140"/>
      <c r="G641" s="140"/>
      <c r="H641" s="140"/>
      <c r="I641" s="140"/>
      <c r="J641" s="140"/>
      <c r="K641" s="140"/>
    </row>
    <row r="642" spans="1:11">
      <c r="A642" s="138"/>
      <c r="B642" s="138"/>
      <c r="C642" s="144"/>
      <c r="D642" s="143"/>
      <c r="E642" s="140"/>
      <c r="F642" s="140"/>
      <c r="G642" s="140"/>
      <c r="H642" s="140"/>
      <c r="I642" s="140"/>
      <c r="J642" s="140"/>
      <c r="K642" s="140"/>
    </row>
    <row r="643" spans="1:11">
      <c r="A643" s="138"/>
      <c r="B643" s="138"/>
      <c r="C643" s="144"/>
      <c r="D643" s="143"/>
      <c r="E643" s="140"/>
      <c r="F643" s="140"/>
      <c r="G643" s="140"/>
      <c r="H643" s="140"/>
      <c r="I643" s="140"/>
      <c r="J643" s="140"/>
      <c r="K643" s="140"/>
    </row>
    <row r="644" spans="1:11">
      <c r="A644" s="138"/>
      <c r="B644" s="138"/>
      <c r="C644" s="144"/>
      <c r="D644" s="143"/>
      <c r="E644" s="140"/>
      <c r="F644" s="140"/>
      <c r="G644" s="140"/>
      <c r="H644" s="140"/>
      <c r="I644" s="140"/>
      <c r="J644" s="140"/>
      <c r="K644" s="140"/>
    </row>
    <row r="645" spans="1:11">
      <c r="A645" s="138"/>
      <c r="B645" s="138"/>
      <c r="C645" s="144"/>
      <c r="D645" s="143"/>
      <c r="E645" s="140"/>
      <c r="F645" s="140"/>
      <c r="G645" s="140"/>
      <c r="H645" s="140"/>
      <c r="I645" s="140"/>
      <c r="J645" s="140"/>
      <c r="K645" s="140"/>
    </row>
    <row r="646" spans="1:11">
      <c r="A646" s="138"/>
      <c r="B646" s="138"/>
      <c r="C646" s="144"/>
      <c r="D646" s="143"/>
      <c r="E646" s="140"/>
      <c r="F646" s="140"/>
      <c r="G646" s="140"/>
      <c r="H646" s="140"/>
      <c r="I646" s="140"/>
      <c r="J646" s="140"/>
      <c r="K646" s="140"/>
    </row>
    <row r="647" spans="1:11">
      <c r="A647" s="138"/>
      <c r="B647" s="138"/>
      <c r="C647" s="144"/>
      <c r="D647" s="143"/>
      <c r="E647" s="140"/>
      <c r="F647" s="140"/>
      <c r="G647" s="140"/>
      <c r="H647" s="140"/>
      <c r="I647" s="140"/>
      <c r="J647" s="140"/>
      <c r="K647" s="140"/>
    </row>
    <row r="648" spans="1:11">
      <c r="A648" s="138"/>
      <c r="B648" s="138"/>
      <c r="C648" s="144"/>
      <c r="D648" s="143"/>
      <c r="E648" s="140"/>
      <c r="F648" s="140"/>
      <c r="G648" s="140"/>
      <c r="H648" s="140"/>
      <c r="I648" s="140"/>
      <c r="J648" s="140"/>
      <c r="K648" s="140"/>
    </row>
    <row r="649" spans="1:11">
      <c r="A649" s="138"/>
      <c r="B649" s="138"/>
      <c r="C649" s="144"/>
      <c r="D649" s="143"/>
      <c r="E649" s="140"/>
      <c r="F649" s="140"/>
      <c r="G649" s="140"/>
      <c r="H649" s="140"/>
      <c r="I649" s="140"/>
      <c r="J649" s="140"/>
      <c r="K649" s="140"/>
    </row>
    <row r="650" spans="1:11">
      <c r="A650" s="138"/>
      <c r="B650" s="138"/>
      <c r="C650" s="144"/>
      <c r="D650" s="143"/>
      <c r="E650" s="140"/>
      <c r="F650" s="140"/>
      <c r="G650" s="140"/>
      <c r="H650" s="140"/>
      <c r="I650" s="140"/>
      <c r="J650" s="140"/>
      <c r="K650" s="140"/>
    </row>
    <row r="651" spans="1:11">
      <c r="A651" s="138"/>
      <c r="B651" s="138"/>
      <c r="C651" s="144"/>
      <c r="D651" s="143"/>
      <c r="E651" s="140"/>
      <c r="F651" s="140"/>
      <c r="G651" s="140"/>
      <c r="H651" s="140"/>
      <c r="I651" s="140"/>
      <c r="J651" s="140"/>
      <c r="K651" s="140"/>
    </row>
    <row r="652" spans="1:11">
      <c r="A652" s="138"/>
      <c r="B652" s="138"/>
      <c r="C652" s="144"/>
      <c r="D652" s="143"/>
      <c r="E652" s="140"/>
      <c r="F652" s="140"/>
      <c r="G652" s="140"/>
      <c r="H652" s="140"/>
      <c r="I652" s="140"/>
      <c r="J652" s="140"/>
      <c r="K652" s="140"/>
    </row>
    <row r="653" spans="1:11">
      <c r="A653" s="138"/>
      <c r="B653" s="138"/>
      <c r="C653" s="144"/>
      <c r="D653" s="143"/>
      <c r="E653" s="140"/>
      <c r="F653" s="140"/>
      <c r="G653" s="140"/>
      <c r="H653" s="140"/>
      <c r="I653" s="140"/>
      <c r="J653" s="140"/>
      <c r="K653" s="140"/>
    </row>
    <row r="654" spans="1:11">
      <c r="A654" s="138"/>
      <c r="B654" s="138"/>
      <c r="C654" s="144"/>
      <c r="D654" s="143"/>
      <c r="E654" s="140"/>
      <c r="F654" s="140"/>
      <c r="G654" s="140"/>
      <c r="H654" s="140"/>
      <c r="I654" s="140"/>
      <c r="J654" s="140"/>
      <c r="K654" s="140"/>
    </row>
    <row r="655" spans="1:11">
      <c r="A655" s="138"/>
      <c r="B655" s="138"/>
      <c r="C655" s="144"/>
      <c r="D655" s="143"/>
      <c r="E655" s="140"/>
      <c r="F655" s="140"/>
      <c r="G655" s="140"/>
      <c r="H655" s="140"/>
      <c r="I655" s="140"/>
      <c r="J655" s="140"/>
      <c r="K655" s="140"/>
    </row>
    <row r="656" spans="1:11">
      <c r="A656" s="138"/>
      <c r="B656" s="138"/>
      <c r="C656" s="144"/>
      <c r="D656" s="143"/>
      <c r="E656" s="140"/>
      <c r="F656" s="140"/>
      <c r="G656" s="140"/>
      <c r="H656" s="140"/>
      <c r="I656" s="140"/>
      <c r="J656" s="140"/>
      <c r="K656" s="140"/>
    </row>
    <row r="657" spans="1:11">
      <c r="A657" s="138"/>
      <c r="B657" s="138"/>
      <c r="C657" s="144"/>
      <c r="D657" s="143"/>
      <c r="E657" s="140"/>
      <c r="F657" s="140"/>
      <c r="G657" s="140"/>
      <c r="H657" s="140"/>
      <c r="I657" s="140"/>
      <c r="J657" s="140"/>
      <c r="K657" s="140"/>
    </row>
    <row r="658" spans="1:11">
      <c r="A658" s="138"/>
      <c r="B658" s="138"/>
      <c r="C658" s="144"/>
      <c r="D658" s="143"/>
      <c r="E658" s="140"/>
      <c r="F658" s="140"/>
      <c r="G658" s="140"/>
      <c r="H658" s="140"/>
      <c r="I658" s="140"/>
      <c r="J658" s="140"/>
      <c r="K658" s="140"/>
    </row>
    <row r="659" spans="1:11">
      <c r="A659" s="138"/>
      <c r="B659" s="138"/>
      <c r="C659" s="144"/>
      <c r="D659" s="143"/>
      <c r="E659" s="140"/>
      <c r="F659" s="140"/>
      <c r="G659" s="140"/>
      <c r="H659" s="140"/>
      <c r="I659" s="140"/>
      <c r="J659" s="140"/>
      <c r="K659" s="140"/>
    </row>
    <row r="660" spans="1:11">
      <c r="A660" s="138"/>
      <c r="B660" s="138"/>
      <c r="C660" s="144"/>
      <c r="D660" s="143"/>
      <c r="E660" s="140"/>
      <c r="F660" s="140"/>
      <c r="G660" s="140"/>
      <c r="H660" s="140"/>
      <c r="I660" s="140"/>
      <c r="J660" s="140"/>
      <c r="K660" s="140"/>
    </row>
    <row r="661" spans="1:11">
      <c r="A661" s="138"/>
      <c r="B661" s="138"/>
      <c r="C661" s="144"/>
      <c r="D661" s="143"/>
      <c r="E661" s="140"/>
      <c r="F661" s="140"/>
      <c r="G661" s="140"/>
      <c r="H661" s="140"/>
      <c r="I661" s="140"/>
      <c r="J661" s="140"/>
      <c r="K661" s="140"/>
    </row>
    <row r="662" spans="1:11">
      <c r="A662" s="138"/>
      <c r="B662" s="138"/>
      <c r="C662" s="144"/>
      <c r="D662" s="143"/>
      <c r="E662" s="140"/>
      <c r="F662" s="140"/>
      <c r="G662" s="140"/>
      <c r="H662" s="140"/>
      <c r="I662" s="140"/>
      <c r="J662" s="140"/>
      <c r="K662" s="140"/>
    </row>
    <row r="663" spans="1:11">
      <c r="A663" s="138"/>
      <c r="B663" s="138"/>
      <c r="C663" s="144"/>
      <c r="D663" s="143"/>
      <c r="E663" s="140"/>
      <c r="F663" s="140"/>
      <c r="G663" s="140"/>
      <c r="H663" s="140"/>
      <c r="I663" s="140"/>
      <c r="J663" s="140"/>
      <c r="K663" s="140"/>
    </row>
    <row r="664" spans="1:11">
      <c r="A664" s="138"/>
      <c r="B664" s="138"/>
      <c r="C664" s="144"/>
      <c r="D664" s="143"/>
      <c r="E664" s="140"/>
      <c r="F664" s="140"/>
      <c r="G664" s="140"/>
      <c r="H664" s="140"/>
      <c r="I664" s="140"/>
      <c r="J664" s="140"/>
      <c r="K664" s="140"/>
    </row>
    <row r="665" spans="1:11">
      <c r="A665" s="138"/>
      <c r="B665" s="138"/>
      <c r="C665" s="144"/>
      <c r="D665" s="143"/>
      <c r="E665" s="140"/>
      <c r="F665" s="140"/>
      <c r="G665" s="140"/>
      <c r="H665" s="140"/>
      <c r="I665" s="140"/>
      <c r="J665" s="140"/>
      <c r="K665" s="140"/>
    </row>
    <row r="666" spans="1:11">
      <c r="A666" s="138"/>
      <c r="B666" s="138"/>
      <c r="C666" s="144"/>
      <c r="D666" s="143"/>
      <c r="E666" s="140"/>
      <c r="F666" s="140"/>
      <c r="G666" s="140"/>
      <c r="H666" s="140"/>
      <c r="I666" s="140"/>
      <c r="J666" s="140"/>
      <c r="K666" s="140"/>
    </row>
    <row r="667" spans="1:11">
      <c r="A667" s="138"/>
      <c r="B667" s="138"/>
      <c r="C667" s="144"/>
      <c r="D667" s="143"/>
      <c r="E667" s="140"/>
      <c r="F667" s="140"/>
      <c r="G667" s="140"/>
      <c r="H667" s="140"/>
      <c r="I667" s="140"/>
      <c r="J667" s="140"/>
      <c r="K667" s="140"/>
    </row>
    <row r="668" spans="1:11">
      <c r="A668" s="138"/>
      <c r="B668" s="138"/>
      <c r="C668" s="144"/>
      <c r="D668" s="143"/>
      <c r="E668" s="140"/>
      <c r="F668" s="140"/>
      <c r="G668" s="140"/>
      <c r="H668" s="140"/>
      <c r="I668" s="140"/>
      <c r="J668" s="140"/>
      <c r="K668" s="140"/>
    </row>
    <row r="669" spans="1:11">
      <c r="A669" s="138"/>
      <c r="B669" s="138"/>
      <c r="C669" s="144"/>
      <c r="D669" s="143"/>
      <c r="E669" s="140"/>
      <c r="F669" s="140"/>
      <c r="G669" s="140"/>
      <c r="H669" s="140"/>
      <c r="I669" s="140"/>
      <c r="J669" s="140"/>
      <c r="K669" s="140"/>
    </row>
    <row r="670" spans="1:11">
      <c r="A670" s="138"/>
      <c r="B670" s="138"/>
      <c r="C670" s="144"/>
      <c r="D670" s="143"/>
      <c r="E670" s="140"/>
      <c r="F670" s="140"/>
      <c r="G670" s="140"/>
      <c r="H670" s="140"/>
      <c r="I670" s="140"/>
      <c r="J670" s="140"/>
      <c r="K670" s="140"/>
    </row>
    <row r="671" spans="1:11">
      <c r="A671" s="138"/>
      <c r="B671" s="138"/>
      <c r="C671" s="144"/>
      <c r="D671" s="143"/>
      <c r="E671" s="140"/>
      <c r="F671" s="140"/>
      <c r="G671" s="140"/>
      <c r="H671" s="140"/>
      <c r="I671" s="140"/>
      <c r="J671" s="140"/>
      <c r="K671" s="140"/>
    </row>
    <row r="672" spans="1:11">
      <c r="A672" s="138"/>
      <c r="B672" s="138"/>
      <c r="C672" s="144"/>
      <c r="D672" s="143"/>
      <c r="E672" s="140"/>
      <c r="F672" s="140"/>
      <c r="G672" s="140"/>
      <c r="H672" s="140"/>
      <c r="I672" s="140"/>
      <c r="J672" s="140"/>
      <c r="K672" s="140"/>
    </row>
    <row r="673" spans="1:11">
      <c r="A673" s="138"/>
      <c r="B673" s="138"/>
      <c r="C673" s="144"/>
      <c r="D673" s="143"/>
      <c r="E673" s="140"/>
      <c r="F673" s="140"/>
      <c r="G673" s="140"/>
      <c r="H673" s="140"/>
      <c r="I673" s="140"/>
      <c r="J673" s="140"/>
      <c r="K673" s="140"/>
    </row>
    <row r="674" spans="1:11">
      <c r="A674" s="138"/>
      <c r="B674" s="138"/>
      <c r="C674" s="144"/>
      <c r="D674" s="143"/>
      <c r="E674" s="140"/>
      <c r="F674" s="140"/>
      <c r="G674" s="140"/>
      <c r="H674" s="140"/>
      <c r="I674" s="140"/>
      <c r="J674" s="140"/>
      <c r="K674" s="140"/>
    </row>
    <row r="675" spans="1:11">
      <c r="A675" s="138"/>
      <c r="B675" s="138"/>
      <c r="C675" s="144"/>
      <c r="D675" s="143"/>
      <c r="E675" s="140"/>
      <c r="F675" s="140"/>
      <c r="G675" s="140"/>
      <c r="H675" s="140"/>
      <c r="I675" s="140"/>
      <c r="J675" s="140"/>
      <c r="K675" s="140"/>
    </row>
    <row r="676" spans="1:11">
      <c r="A676" s="138"/>
      <c r="B676" s="138"/>
      <c r="C676" s="144"/>
      <c r="D676" s="143"/>
      <c r="E676" s="140"/>
      <c r="F676" s="140"/>
      <c r="G676" s="140"/>
      <c r="H676" s="140"/>
      <c r="I676" s="140"/>
      <c r="J676" s="140"/>
      <c r="K676" s="140"/>
    </row>
    <row r="677" spans="1:11">
      <c r="A677" s="138"/>
      <c r="B677" s="138"/>
      <c r="C677" s="144"/>
      <c r="D677" s="143"/>
      <c r="E677" s="140"/>
      <c r="F677" s="140"/>
      <c r="G677" s="140"/>
      <c r="H677" s="140"/>
      <c r="I677" s="140"/>
      <c r="J677" s="140"/>
      <c r="K677" s="140"/>
    </row>
    <row r="678" spans="1:11">
      <c r="A678" s="138"/>
      <c r="B678" s="138"/>
      <c r="C678" s="144"/>
      <c r="D678" s="143"/>
      <c r="E678" s="140"/>
      <c r="F678" s="140"/>
      <c r="G678" s="140"/>
      <c r="H678" s="140"/>
      <c r="I678" s="140"/>
      <c r="J678" s="140"/>
      <c r="K678" s="140"/>
    </row>
    <row r="679" spans="1:11">
      <c r="A679" s="138"/>
      <c r="B679" s="138"/>
      <c r="C679" s="144"/>
      <c r="D679" s="143"/>
      <c r="E679" s="140"/>
      <c r="F679" s="140"/>
      <c r="G679" s="140"/>
      <c r="H679" s="140"/>
      <c r="I679" s="140"/>
      <c r="J679" s="140"/>
      <c r="K679" s="140"/>
    </row>
    <row r="680" spans="1:11">
      <c r="A680" s="138"/>
      <c r="B680" s="138"/>
      <c r="C680" s="144"/>
      <c r="D680" s="143"/>
      <c r="E680" s="140"/>
      <c r="F680" s="140"/>
      <c r="G680" s="140"/>
      <c r="H680" s="140"/>
      <c r="I680" s="140"/>
      <c r="J680" s="140"/>
      <c r="K680" s="140"/>
    </row>
    <row r="681" spans="1:11">
      <c r="A681" s="138"/>
      <c r="B681" s="138"/>
      <c r="C681" s="144"/>
      <c r="D681" s="143"/>
      <c r="E681" s="140"/>
      <c r="F681" s="140"/>
      <c r="G681" s="140"/>
      <c r="H681" s="140"/>
      <c r="I681" s="140"/>
      <c r="J681" s="140"/>
      <c r="K681" s="140"/>
    </row>
    <row r="682" spans="1:11">
      <c r="A682" s="138"/>
      <c r="B682" s="138"/>
      <c r="C682" s="144"/>
      <c r="D682" s="143"/>
      <c r="E682" s="140"/>
      <c r="F682" s="140"/>
      <c r="G682" s="140"/>
      <c r="H682" s="140"/>
      <c r="I682" s="140"/>
      <c r="J682" s="140"/>
      <c r="K682" s="140"/>
    </row>
    <row r="683" spans="1:11">
      <c r="A683" s="138"/>
      <c r="B683" s="138"/>
      <c r="C683" s="144"/>
      <c r="D683" s="143"/>
      <c r="E683" s="140"/>
      <c r="F683" s="140"/>
      <c r="G683" s="140"/>
      <c r="H683" s="140"/>
      <c r="I683" s="140"/>
      <c r="J683" s="140"/>
      <c r="K683" s="140"/>
    </row>
    <row r="684" spans="1:11">
      <c r="A684" s="138"/>
      <c r="B684" s="138"/>
      <c r="C684" s="144"/>
      <c r="D684" s="143"/>
      <c r="E684" s="140"/>
      <c r="F684" s="140"/>
      <c r="G684" s="140"/>
      <c r="H684" s="140"/>
      <c r="I684" s="140"/>
      <c r="J684" s="140"/>
      <c r="K684" s="140"/>
    </row>
    <row r="685" spans="1:11">
      <c r="A685" s="138"/>
      <c r="B685" s="138"/>
      <c r="C685" s="144"/>
      <c r="D685" s="143"/>
      <c r="E685" s="140"/>
      <c r="F685" s="140"/>
      <c r="G685" s="140"/>
      <c r="H685" s="140"/>
      <c r="I685" s="140"/>
      <c r="J685" s="140"/>
      <c r="K685" s="140"/>
    </row>
    <row r="686" spans="1:11">
      <c r="A686" s="138"/>
      <c r="B686" s="138"/>
      <c r="C686" s="144"/>
      <c r="D686" s="143"/>
      <c r="E686" s="140"/>
      <c r="F686" s="140"/>
      <c r="G686" s="140"/>
      <c r="H686" s="140"/>
      <c r="I686" s="140"/>
      <c r="J686" s="140"/>
      <c r="K686" s="140"/>
    </row>
    <row r="687" spans="1:11">
      <c r="A687" s="138"/>
      <c r="B687" s="138"/>
      <c r="C687" s="144"/>
      <c r="D687" s="143"/>
      <c r="E687" s="140"/>
      <c r="F687" s="140"/>
      <c r="G687" s="140"/>
      <c r="H687" s="140"/>
      <c r="I687" s="140"/>
      <c r="J687" s="140"/>
      <c r="K687" s="140"/>
    </row>
    <row r="688" spans="1:11">
      <c r="A688" s="138"/>
      <c r="B688" s="138"/>
      <c r="C688" s="144"/>
      <c r="D688" s="143"/>
      <c r="E688" s="140"/>
      <c r="F688" s="140"/>
      <c r="G688" s="140"/>
      <c r="H688" s="140"/>
      <c r="I688" s="140"/>
      <c r="J688" s="140"/>
      <c r="K688" s="140"/>
    </row>
    <row r="689" spans="1:11">
      <c r="A689" s="138"/>
      <c r="B689" s="138"/>
      <c r="C689" s="144"/>
      <c r="D689" s="143"/>
      <c r="E689" s="140"/>
      <c r="F689" s="140"/>
      <c r="G689" s="140"/>
      <c r="H689" s="140"/>
      <c r="I689" s="140"/>
      <c r="J689" s="140"/>
      <c r="K689" s="140"/>
    </row>
    <row r="690" spans="1:11">
      <c r="A690" s="138"/>
      <c r="B690" s="138"/>
      <c r="C690" s="144"/>
      <c r="D690" s="143"/>
      <c r="E690" s="140"/>
      <c r="F690" s="140"/>
      <c r="G690" s="140"/>
      <c r="H690" s="140"/>
      <c r="I690" s="140"/>
      <c r="J690" s="140"/>
      <c r="K690" s="140"/>
    </row>
    <row r="691" spans="1:11">
      <c r="A691" s="138"/>
      <c r="B691" s="138"/>
      <c r="C691" s="144"/>
      <c r="D691" s="143"/>
      <c r="E691" s="140"/>
      <c r="F691" s="140"/>
      <c r="G691" s="140"/>
      <c r="H691" s="140"/>
      <c r="I691" s="140"/>
      <c r="J691" s="140"/>
      <c r="K691" s="140"/>
    </row>
    <row r="692" spans="1:11">
      <c r="A692" s="138"/>
      <c r="B692" s="138"/>
      <c r="C692" s="144"/>
      <c r="D692" s="143"/>
      <c r="E692" s="140"/>
      <c r="F692" s="140"/>
      <c r="G692" s="140"/>
      <c r="H692" s="140"/>
      <c r="I692" s="140"/>
      <c r="J692" s="140"/>
      <c r="K692" s="140"/>
    </row>
    <row r="693" spans="1:11">
      <c r="A693" s="138"/>
      <c r="B693" s="138"/>
      <c r="C693" s="144"/>
      <c r="D693" s="143"/>
      <c r="E693" s="140"/>
      <c r="F693" s="140"/>
      <c r="G693" s="140"/>
      <c r="H693" s="140"/>
      <c r="I693" s="140"/>
      <c r="J693" s="140"/>
      <c r="K693" s="140"/>
    </row>
    <row r="694" spans="1:11">
      <c r="A694" s="138"/>
      <c r="B694" s="138"/>
      <c r="C694" s="144"/>
      <c r="D694" s="143"/>
      <c r="E694" s="140"/>
      <c r="F694" s="140"/>
      <c r="G694" s="140"/>
      <c r="H694" s="140"/>
      <c r="I694" s="140"/>
      <c r="J694" s="140"/>
      <c r="K694" s="140"/>
    </row>
    <row r="695" spans="1:11">
      <c r="A695" s="138"/>
      <c r="B695" s="138"/>
      <c r="C695" s="144"/>
      <c r="D695" s="143"/>
      <c r="E695" s="140"/>
      <c r="F695" s="140"/>
      <c r="G695" s="140"/>
      <c r="H695" s="140"/>
      <c r="I695" s="140"/>
      <c r="J695" s="140"/>
      <c r="K695" s="140"/>
    </row>
    <row r="696" spans="1:11">
      <c r="A696" s="138"/>
      <c r="B696" s="138"/>
      <c r="C696" s="144"/>
      <c r="D696" s="143"/>
      <c r="E696" s="140"/>
      <c r="F696" s="140"/>
      <c r="G696" s="140"/>
      <c r="H696" s="140"/>
      <c r="I696" s="140"/>
      <c r="J696" s="140"/>
      <c r="K696" s="140"/>
    </row>
    <row r="697" spans="1:11">
      <c r="A697" s="138"/>
      <c r="B697" s="138"/>
      <c r="C697" s="144"/>
      <c r="D697" s="143"/>
      <c r="E697" s="140"/>
      <c r="F697" s="140"/>
      <c r="G697" s="140"/>
      <c r="H697" s="140"/>
      <c r="I697" s="140"/>
      <c r="J697" s="140"/>
      <c r="K697" s="140"/>
    </row>
    <row r="698" spans="1:11">
      <c r="A698" s="138"/>
      <c r="B698" s="138"/>
      <c r="C698" s="144"/>
      <c r="D698" s="143"/>
      <c r="E698" s="140"/>
      <c r="F698" s="140"/>
      <c r="G698" s="140"/>
      <c r="H698" s="140"/>
      <c r="I698" s="140"/>
      <c r="J698" s="140"/>
      <c r="K698" s="140"/>
    </row>
    <row r="699" spans="1:11">
      <c r="A699" s="138"/>
      <c r="B699" s="138"/>
      <c r="C699" s="144"/>
      <c r="D699" s="143"/>
      <c r="E699" s="140"/>
      <c r="F699" s="140"/>
      <c r="G699" s="140"/>
      <c r="H699" s="140"/>
      <c r="I699" s="140"/>
      <c r="J699" s="140"/>
      <c r="K699" s="140"/>
    </row>
    <row r="700" spans="1:11">
      <c r="A700" s="138"/>
      <c r="B700" s="138"/>
      <c r="C700" s="144"/>
      <c r="D700" s="143"/>
      <c r="E700" s="140"/>
      <c r="F700" s="140"/>
      <c r="G700" s="140"/>
      <c r="H700" s="140"/>
      <c r="I700" s="140"/>
      <c r="J700" s="140"/>
      <c r="K700" s="140"/>
    </row>
    <row r="701" spans="1:11">
      <c r="A701" s="138"/>
      <c r="B701" s="138"/>
      <c r="C701" s="144"/>
      <c r="D701" s="143"/>
      <c r="E701" s="140"/>
      <c r="F701" s="140"/>
      <c r="G701" s="140"/>
      <c r="H701" s="140"/>
      <c r="I701" s="140"/>
      <c r="J701" s="140"/>
      <c r="K701" s="140"/>
    </row>
    <row r="702" spans="1:11">
      <c r="A702" s="138"/>
      <c r="B702" s="138"/>
      <c r="C702" s="144"/>
      <c r="D702" s="143"/>
      <c r="E702" s="140"/>
      <c r="F702" s="140"/>
      <c r="G702" s="140"/>
      <c r="H702" s="140"/>
      <c r="I702" s="140"/>
      <c r="J702" s="140"/>
      <c r="K702" s="140"/>
    </row>
    <row r="703" spans="1:11">
      <c r="A703" s="138"/>
      <c r="B703" s="138"/>
      <c r="C703" s="144"/>
      <c r="D703" s="143"/>
      <c r="E703" s="140"/>
      <c r="F703" s="140"/>
      <c r="G703" s="140"/>
      <c r="H703" s="140"/>
      <c r="I703" s="140"/>
      <c r="J703" s="140"/>
      <c r="K703" s="140"/>
    </row>
    <row r="704" spans="1:11">
      <c r="A704" s="138"/>
      <c r="B704" s="138"/>
      <c r="C704" s="144"/>
      <c r="D704" s="143"/>
      <c r="E704" s="140"/>
      <c r="F704" s="140"/>
      <c r="G704" s="140"/>
      <c r="H704" s="140"/>
      <c r="I704" s="140"/>
      <c r="J704" s="140"/>
      <c r="K704" s="140"/>
    </row>
    <row r="705" spans="1:11">
      <c r="A705" s="138"/>
      <c r="B705" s="138"/>
      <c r="C705" s="144"/>
      <c r="D705" s="143"/>
      <c r="E705" s="140"/>
      <c r="F705" s="140"/>
      <c r="G705" s="140"/>
      <c r="H705" s="140"/>
      <c r="I705" s="140"/>
      <c r="J705" s="140"/>
      <c r="K705" s="140"/>
    </row>
    <row r="706" spans="1:11">
      <c r="A706" s="138"/>
      <c r="B706" s="138"/>
      <c r="C706" s="144"/>
      <c r="D706" s="143"/>
      <c r="E706" s="140"/>
      <c r="F706" s="140"/>
      <c r="G706" s="140"/>
      <c r="H706" s="140"/>
      <c r="I706" s="140"/>
      <c r="J706" s="140"/>
      <c r="K706" s="140"/>
    </row>
    <row r="707" spans="1:11">
      <c r="A707" s="138"/>
      <c r="B707" s="138"/>
      <c r="C707" s="144"/>
      <c r="D707" s="143"/>
      <c r="E707" s="140"/>
      <c r="F707" s="140"/>
      <c r="G707" s="140"/>
      <c r="H707" s="140"/>
      <c r="I707" s="140"/>
      <c r="J707" s="140"/>
      <c r="K707" s="140"/>
    </row>
    <row r="708" spans="1:11">
      <c r="A708" s="138"/>
      <c r="B708" s="138"/>
      <c r="C708" s="144"/>
      <c r="D708" s="143"/>
      <c r="E708" s="140"/>
      <c r="F708" s="140"/>
      <c r="G708" s="140"/>
      <c r="H708" s="140"/>
      <c r="I708" s="140"/>
      <c r="J708" s="140"/>
      <c r="K708" s="140"/>
    </row>
    <row r="709" spans="1:11">
      <c r="A709" s="138"/>
      <c r="B709" s="138"/>
      <c r="C709" s="144"/>
      <c r="D709" s="143"/>
      <c r="E709" s="140"/>
      <c r="F709" s="140"/>
      <c r="G709" s="140"/>
      <c r="H709" s="140"/>
      <c r="I709" s="140"/>
      <c r="J709" s="140"/>
      <c r="K709" s="140"/>
    </row>
    <row r="710" spans="1:11">
      <c r="A710" s="138"/>
      <c r="B710" s="138"/>
      <c r="C710" s="144"/>
      <c r="D710" s="143"/>
      <c r="E710" s="140"/>
      <c r="F710" s="140"/>
      <c r="G710" s="140"/>
      <c r="H710" s="140"/>
      <c r="I710" s="140"/>
      <c r="J710" s="140"/>
      <c r="K710" s="140"/>
    </row>
    <row r="711" spans="1:11">
      <c r="A711" s="138"/>
      <c r="B711" s="138"/>
      <c r="C711" s="144"/>
      <c r="D711" s="143"/>
      <c r="E711" s="140"/>
      <c r="F711" s="140"/>
      <c r="G711" s="140"/>
      <c r="H711" s="140"/>
      <c r="I711" s="140"/>
      <c r="J711" s="140"/>
      <c r="K711" s="140"/>
    </row>
    <row r="712" spans="1:11">
      <c r="A712" s="138"/>
      <c r="B712" s="138"/>
      <c r="C712" s="144"/>
      <c r="D712" s="143"/>
      <c r="E712" s="140"/>
      <c r="F712" s="140"/>
      <c r="G712" s="140"/>
      <c r="H712" s="140"/>
      <c r="I712" s="140"/>
      <c r="J712" s="140"/>
      <c r="K712" s="140"/>
    </row>
    <row r="713" spans="1:11">
      <c r="A713" s="138"/>
      <c r="B713" s="138"/>
      <c r="C713" s="144"/>
      <c r="D713" s="143"/>
      <c r="E713" s="140"/>
      <c r="F713" s="140"/>
      <c r="G713" s="140"/>
      <c r="H713" s="140"/>
      <c r="I713" s="140"/>
      <c r="J713" s="140"/>
      <c r="K713" s="140"/>
    </row>
    <row r="714" spans="1:11">
      <c r="A714" s="138"/>
      <c r="B714" s="138"/>
      <c r="C714" s="144"/>
      <c r="D714" s="143"/>
      <c r="E714" s="140"/>
      <c r="F714" s="140"/>
      <c r="G714" s="140"/>
      <c r="H714" s="140"/>
      <c r="I714" s="140"/>
      <c r="J714" s="140"/>
      <c r="K714" s="140"/>
    </row>
    <row r="715" spans="1:11">
      <c r="A715" s="138"/>
      <c r="B715" s="138"/>
      <c r="C715" s="144"/>
      <c r="D715" s="143"/>
      <c r="E715" s="140"/>
      <c r="F715" s="140"/>
      <c r="G715" s="140"/>
      <c r="H715" s="140"/>
      <c r="I715" s="140"/>
      <c r="J715" s="140"/>
      <c r="K715" s="140"/>
    </row>
    <row r="716" spans="1:11">
      <c r="A716" s="138"/>
      <c r="B716" s="138"/>
      <c r="C716" s="144"/>
      <c r="D716" s="143"/>
      <c r="E716" s="140"/>
      <c r="F716" s="140"/>
      <c r="G716" s="140"/>
      <c r="H716" s="140"/>
      <c r="I716" s="140"/>
      <c r="J716" s="140"/>
      <c r="K716" s="140"/>
    </row>
    <row r="717" spans="1:11">
      <c r="A717" s="138"/>
      <c r="B717" s="138"/>
      <c r="C717" s="144"/>
      <c r="D717" s="143"/>
      <c r="E717" s="140"/>
      <c r="F717" s="140"/>
      <c r="G717" s="140"/>
      <c r="H717" s="140"/>
      <c r="I717" s="140"/>
      <c r="J717" s="140"/>
      <c r="K717" s="140"/>
    </row>
    <row r="718" spans="1:11">
      <c r="A718" s="138"/>
      <c r="B718" s="138"/>
      <c r="C718" s="144"/>
      <c r="D718" s="143"/>
      <c r="E718" s="140"/>
      <c r="F718" s="140"/>
      <c r="G718" s="140"/>
      <c r="H718" s="140"/>
      <c r="I718" s="140"/>
      <c r="J718" s="140"/>
      <c r="K718" s="140"/>
    </row>
    <row r="719" spans="1:11">
      <c r="A719" s="138"/>
      <c r="B719" s="138"/>
      <c r="C719" s="144"/>
      <c r="D719" s="143"/>
      <c r="E719" s="140"/>
      <c r="F719" s="140"/>
      <c r="G719" s="140"/>
      <c r="H719" s="140"/>
      <c r="I719" s="140"/>
      <c r="J719" s="140"/>
      <c r="K719" s="140"/>
    </row>
    <row r="720" spans="1:11">
      <c r="A720" s="138"/>
      <c r="B720" s="138"/>
      <c r="C720" s="144"/>
      <c r="D720" s="143"/>
      <c r="E720" s="140"/>
      <c r="F720" s="140"/>
      <c r="G720" s="140"/>
      <c r="H720" s="140"/>
      <c r="I720" s="140"/>
      <c r="J720" s="140"/>
      <c r="K720" s="140"/>
    </row>
    <row r="721" spans="1:11">
      <c r="A721" s="138"/>
      <c r="B721" s="138"/>
      <c r="C721" s="144"/>
      <c r="D721" s="143"/>
      <c r="E721" s="140"/>
      <c r="F721" s="140"/>
      <c r="G721" s="140"/>
      <c r="H721" s="140"/>
      <c r="I721" s="140"/>
      <c r="J721" s="140"/>
      <c r="K721" s="140"/>
    </row>
    <row r="722" spans="1:11">
      <c r="A722" s="138"/>
      <c r="B722" s="138"/>
      <c r="C722" s="144"/>
      <c r="D722" s="143"/>
      <c r="E722" s="140"/>
      <c r="F722" s="140"/>
      <c r="G722" s="140"/>
      <c r="H722" s="140"/>
      <c r="I722" s="140"/>
      <c r="J722" s="140"/>
      <c r="K722" s="140"/>
    </row>
    <row r="723" spans="1:11">
      <c r="A723" s="138"/>
      <c r="B723" s="138"/>
      <c r="C723" s="144"/>
      <c r="D723" s="143"/>
      <c r="E723" s="140"/>
      <c r="F723" s="140"/>
      <c r="G723" s="140"/>
      <c r="H723" s="140"/>
      <c r="I723" s="140"/>
      <c r="J723" s="140"/>
      <c r="K723" s="140"/>
    </row>
    <row r="724" spans="1:11">
      <c r="A724" s="138"/>
      <c r="B724" s="138"/>
      <c r="C724" s="144"/>
      <c r="D724" s="143"/>
      <c r="E724" s="140"/>
      <c r="F724" s="140"/>
      <c r="G724" s="140"/>
      <c r="H724" s="140"/>
      <c r="I724" s="140"/>
      <c r="J724" s="140"/>
      <c r="K724" s="140"/>
    </row>
    <row r="725" spans="1:11">
      <c r="A725" s="138"/>
      <c r="B725" s="138"/>
      <c r="C725" s="144"/>
      <c r="D725" s="143"/>
      <c r="E725" s="140"/>
      <c r="F725" s="140"/>
      <c r="G725" s="140"/>
      <c r="H725" s="140"/>
      <c r="I725" s="140"/>
      <c r="J725" s="140"/>
      <c r="K725" s="140"/>
    </row>
    <row r="726" spans="1:11">
      <c r="A726" s="138"/>
      <c r="B726" s="138"/>
      <c r="C726" s="144"/>
      <c r="D726" s="143"/>
      <c r="E726" s="140"/>
      <c r="F726" s="140"/>
      <c r="G726" s="140"/>
      <c r="H726" s="140"/>
      <c r="I726" s="140"/>
      <c r="J726" s="140"/>
      <c r="K726" s="140"/>
    </row>
    <row r="727" spans="1:11">
      <c r="A727" s="138"/>
      <c r="B727" s="138"/>
      <c r="C727" s="144"/>
      <c r="D727" s="143"/>
      <c r="E727" s="140"/>
      <c r="F727" s="140"/>
      <c r="G727" s="140"/>
      <c r="H727" s="140"/>
      <c r="I727" s="140"/>
      <c r="J727" s="140"/>
      <c r="K727" s="140"/>
    </row>
    <row r="728" spans="1:11">
      <c r="A728" s="138"/>
      <c r="B728" s="138"/>
      <c r="C728" s="144"/>
      <c r="D728" s="143"/>
      <c r="E728" s="140"/>
      <c r="F728" s="140"/>
      <c r="G728" s="140"/>
      <c r="H728" s="140"/>
      <c r="I728" s="140"/>
      <c r="J728" s="140"/>
      <c r="K728" s="140"/>
    </row>
    <row r="729" spans="1:11">
      <c r="A729" s="138"/>
      <c r="B729" s="138"/>
      <c r="C729" s="144"/>
      <c r="D729" s="143"/>
      <c r="E729" s="140"/>
      <c r="F729" s="140"/>
      <c r="G729" s="140"/>
      <c r="H729" s="140"/>
      <c r="I729" s="140"/>
      <c r="J729" s="140"/>
      <c r="K729" s="140"/>
    </row>
    <row r="730" spans="1:11">
      <c r="A730" s="138"/>
      <c r="B730" s="138"/>
      <c r="C730" s="144"/>
      <c r="D730" s="143"/>
      <c r="E730" s="140"/>
      <c r="F730" s="140"/>
      <c r="G730" s="140"/>
      <c r="H730" s="140"/>
      <c r="I730" s="140"/>
      <c r="J730" s="140"/>
      <c r="K730" s="140"/>
    </row>
    <row r="731" spans="1:11">
      <c r="A731" s="138"/>
      <c r="B731" s="138"/>
      <c r="C731" s="144"/>
      <c r="D731" s="143"/>
      <c r="E731" s="140"/>
      <c r="F731" s="140"/>
      <c r="G731" s="140"/>
      <c r="H731" s="140"/>
      <c r="I731" s="140"/>
      <c r="J731" s="140"/>
      <c r="K731" s="140"/>
    </row>
    <row r="732" spans="1:11">
      <c r="A732" s="138"/>
      <c r="B732" s="138"/>
      <c r="C732" s="144"/>
      <c r="D732" s="143"/>
      <c r="E732" s="140"/>
      <c r="F732" s="140"/>
      <c r="G732" s="140"/>
      <c r="H732" s="140"/>
      <c r="I732" s="140"/>
      <c r="J732" s="140"/>
      <c r="K732" s="140"/>
    </row>
    <row r="733" spans="1:11">
      <c r="A733" s="138"/>
      <c r="B733" s="138"/>
      <c r="C733" s="144"/>
      <c r="D733" s="143"/>
      <c r="E733" s="140"/>
      <c r="F733" s="140"/>
      <c r="G733" s="140"/>
      <c r="H733" s="140"/>
      <c r="I733" s="140"/>
      <c r="J733" s="140"/>
      <c r="K733" s="140"/>
    </row>
    <row r="734" spans="1:11">
      <c r="A734" s="138"/>
      <c r="B734" s="138"/>
      <c r="C734" s="144"/>
      <c r="D734" s="143"/>
      <c r="E734" s="140"/>
      <c r="F734" s="140"/>
      <c r="G734" s="140"/>
      <c r="H734" s="140"/>
      <c r="I734" s="140"/>
      <c r="J734" s="140"/>
      <c r="K734" s="140"/>
    </row>
    <row r="735" spans="1:11">
      <c r="A735" s="138"/>
      <c r="B735" s="138"/>
      <c r="C735" s="144"/>
      <c r="D735" s="143"/>
      <c r="E735" s="140"/>
      <c r="F735" s="140"/>
      <c r="G735" s="140"/>
      <c r="H735" s="140"/>
      <c r="I735" s="140"/>
      <c r="J735" s="140"/>
      <c r="K735" s="140"/>
    </row>
    <row r="736" spans="1:11">
      <c r="A736" s="138"/>
      <c r="B736" s="138"/>
      <c r="C736" s="144"/>
      <c r="D736" s="143"/>
      <c r="E736" s="140"/>
      <c r="F736" s="140"/>
      <c r="G736" s="140"/>
      <c r="H736" s="140"/>
      <c r="I736" s="140"/>
      <c r="J736" s="140"/>
      <c r="K736" s="140"/>
    </row>
    <row r="737" spans="1:11">
      <c r="A737" s="138"/>
      <c r="B737" s="138"/>
      <c r="C737" s="144"/>
      <c r="D737" s="143"/>
      <c r="E737" s="140"/>
      <c r="F737" s="140"/>
      <c r="G737" s="140"/>
      <c r="H737" s="140"/>
      <c r="I737" s="140"/>
      <c r="J737" s="140"/>
      <c r="K737" s="140"/>
    </row>
    <row r="738" spans="1:11">
      <c r="A738" s="138"/>
      <c r="B738" s="138"/>
      <c r="C738" s="144"/>
      <c r="D738" s="143"/>
      <c r="E738" s="140"/>
      <c r="F738" s="140"/>
      <c r="G738" s="140"/>
      <c r="H738" s="140"/>
      <c r="I738" s="140"/>
      <c r="J738" s="140"/>
      <c r="K738" s="140"/>
    </row>
    <row r="739" spans="1:11">
      <c r="A739" s="138"/>
      <c r="B739" s="138"/>
      <c r="C739" s="144"/>
      <c r="D739" s="143"/>
      <c r="E739" s="140"/>
      <c r="F739" s="140"/>
      <c r="G739" s="140"/>
      <c r="H739" s="140"/>
      <c r="I739" s="140"/>
      <c r="J739" s="140"/>
      <c r="K739" s="140"/>
    </row>
    <row r="740" spans="1:11">
      <c r="A740" s="138"/>
      <c r="B740" s="138"/>
      <c r="C740" s="144"/>
      <c r="D740" s="143"/>
      <c r="E740" s="140"/>
      <c r="F740" s="140"/>
      <c r="G740" s="140"/>
      <c r="H740" s="140"/>
      <c r="I740" s="140"/>
      <c r="J740" s="140"/>
      <c r="K740" s="140"/>
    </row>
    <row r="741" spans="1:11">
      <c r="A741" s="138"/>
      <c r="B741" s="138"/>
      <c r="C741" s="144"/>
      <c r="D741" s="143"/>
      <c r="E741" s="140"/>
      <c r="F741" s="140"/>
      <c r="G741" s="140"/>
      <c r="H741" s="140"/>
      <c r="I741" s="140"/>
      <c r="J741" s="140"/>
      <c r="K741" s="140"/>
    </row>
    <row r="742" spans="1:11">
      <c r="A742" s="138"/>
      <c r="B742" s="138"/>
      <c r="C742" s="144"/>
      <c r="D742" s="143"/>
      <c r="E742" s="140"/>
      <c r="F742" s="140"/>
      <c r="G742" s="140"/>
      <c r="H742" s="140"/>
      <c r="I742" s="140"/>
      <c r="J742" s="140"/>
      <c r="K742" s="140"/>
    </row>
    <row r="743" spans="1:11">
      <c r="A743" s="138"/>
      <c r="B743" s="138"/>
      <c r="C743" s="144"/>
      <c r="D743" s="143"/>
      <c r="E743" s="140"/>
      <c r="F743" s="140"/>
      <c r="G743" s="140"/>
      <c r="H743" s="140"/>
      <c r="I743" s="140"/>
      <c r="J743" s="140"/>
      <c r="K743" s="140"/>
    </row>
    <row r="744" spans="1:11">
      <c r="A744" s="138"/>
      <c r="B744" s="138"/>
      <c r="C744" s="144"/>
      <c r="D744" s="143"/>
      <c r="E744" s="140"/>
      <c r="F744" s="140"/>
      <c r="G744" s="140"/>
      <c r="H744" s="140"/>
      <c r="I744" s="140"/>
      <c r="J744" s="140"/>
      <c r="K744" s="140"/>
    </row>
    <row r="745" spans="1:11">
      <c r="A745" s="138"/>
      <c r="B745" s="138"/>
      <c r="C745" s="144"/>
      <c r="D745" s="143"/>
      <c r="E745" s="140"/>
      <c r="F745" s="140"/>
      <c r="G745" s="140"/>
      <c r="H745" s="140"/>
      <c r="I745" s="140"/>
      <c r="J745" s="140"/>
      <c r="K745" s="140"/>
    </row>
    <row r="746" spans="1:11">
      <c r="A746" s="138"/>
      <c r="B746" s="138"/>
      <c r="C746" s="144"/>
      <c r="D746" s="143"/>
      <c r="E746" s="140"/>
      <c r="F746" s="140"/>
      <c r="G746" s="140"/>
      <c r="H746" s="140"/>
      <c r="I746" s="140"/>
      <c r="J746" s="140"/>
      <c r="K746" s="140"/>
    </row>
    <row r="747" spans="1:11">
      <c r="A747" s="138"/>
      <c r="B747" s="138"/>
      <c r="C747" s="144"/>
      <c r="D747" s="143"/>
      <c r="E747" s="140"/>
      <c r="F747" s="140"/>
      <c r="G747" s="140"/>
      <c r="H747" s="140"/>
      <c r="I747" s="140"/>
      <c r="J747" s="140"/>
      <c r="K747" s="140"/>
    </row>
    <row r="748" spans="1:11">
      <c r="A748" s="138"/>
      <c r="B748" s="138"/>
      <c r="C748" s="144"/>
      <c r="D748" s="143"/>
      <c r="E748" s="140"/>
      <c r="F748" s="140"/>
      <c r="G748" s="140"/>
      <c r="H748" s="140"/>
      <c r="I748" s="140"/>
      <c r="J748" s="140"/>
      <c r="K748" s="140"/>
    </row>
    <row r="749" spans="1:11">
      <c r="A749" s="138"/>
      <c r="B749" s="138"/>
      <c r="C749" s="144"/>
      <c r="D749" s="143"/>
      <c r="E749" s="140"/>
      <c r="F749" s="140"/>
      <c r="G749" s="140"/>
      <c r="H749" s="140"/>
      <c r="I749" s="140"/>
      <c r="J749" s="140"/>
      <c r="K749" s="140"/>
    </row>
    <row r="750" spans="1:11">
      <c r="A750" s="138"/>
      <c r="B750" s="138"/>
      <c r="C750" s="144"/>
      <c r="D750" s="143"/>
      <c r="E750" s="140"/>
      <c r="F750" s="140"/>
      <c r="G750" s="140"/>
      <c r="H750" s="140"/>
      <c r="I750" s="140"/>
      <c r="J750" s="140"/>
      <c r="K750" s="140"/>
    </row>
    <row r="751" spans="1:11">
      <c r="A751" s="138"/>
      <c r="B751" s="138"/>
      <c r="C751" s="144"/>
      <c r="D751" s="143"/>
      <c r="E751" s="140"/>
      <c r="F751" s="140"/>
      <c r="G751" s="140"/>
      <c r="H751" s="140"/>
      <c r="I751" s="140"/>
      <c r="J751" s="140"/>
      <c r="K751" s="140"/>
    </row>
    <row r="752" spans="1:11">
      <c r="A752" s="138"/>
      <c r="B752" s="138"/>
      <c r="C752" s="144"/>
      <c r="D752" s="143"/>
      <c r="E752" s="140"/>
      <c r="F752" s="140"/>
      <c r="G752" s="140"/>
      <c r="H752" s="140"/>
      <c r="I752" s="140"/>
      <c r="J752" s="140"/>
      <c r="K752" s="140"/>
    </row>
    <row r="753" spans="1:11">
      <c r="A753" s="138"/>
      <c r="B753" s="138"/>
      <c r="C753" s="144"/>
      <c r="D753" s="143"/>
      <c r="E753" s="140"/>
      <c r="F753" s="140"/>
      <c r="G753" s="140"/>
      <c r="H753" s="140"/>
      <c r="I753" s="140"/>
      <c r="J753" s="140"/>
      <c r="K753" s="140"/>
    </row>
    <row r="754" spans="1:11">
      <c r="A754" s="138"/>
      <c r="B754" s="138"/>
      <c r="C754" s="144"/>
      <c r="D754" s="143"/>
      <c r="E754" s="140"/>
      <c r="F754" s="140"/>
      <c r="G754" s="140"/>
      <c r="H754" s="140"/>
      <c r="I754" s="140"/>
      <c r="J754" s="140"/>
      <c r="K754" s="140"/>
    </row>
    <row r="755" spans="1:11">
      <c r="A755" s="138"/>
      <c r="B755" s="138"/>
      <c r="C755" s="144"/>
      <c r="D755" s="143"/>
      <c r="E755" s="140"/>
      <c r="F755" s="140"/>
      <c r="G755" s="140"/>
      <c r="H755" s="140"/>
      <c r="I755" s="140"/>
      <c r="J755" s="140"/>
      <c r="K755" s="140"/>
    </row>
    <row r="756" spans="1:11">
      <c r="A756" s="138"/>
      <c r="B756" s="138"/>
      <c r="C756" s="144"/>
      <c r="D756" s="143"/>
      <c r="E756" s="140"/>
      <c r="F756" s="140"/>
      <c r="G756" s="140"/>
      <c r="H756" s="140"/>
      <c r="I756" s="140"/>
      <c r="J756" s="140"/>
      <c r="K756" s="140"/>
    </row>
    <row r="757" spans="1:11">
      <c r="A757" s="138"/>
      <c r="B757" s="138"/>
      <c r="C757" s="144"/>
      <c r="D757" s="143"/>
      <c r="E757" s="140"/>
      <c r="F757" s="140"/>
      <c r="G757" s="140"/>
      <c r="H757" s="140"/>
      <c r="I757" s="140"/>
      <c r="J757" s="140"/>
      <c r="K757" s="140"/>
    </row>
    <row r="758" spans="1:11">
      <c r="A758" s="138"/>
      <c r="B758" s="138"/>
      <c r="C758" s="144"/>
      <c r="D758" s="143"/>
      <c r="E758" s="140"/>
      <c r="F758" s="140"/>
      <c r="G758" s="140"/>
      <c r="H758" s="140"/>
      <c r="I758" s="140"/>
      <c r="J758" s="140"/>
      <c r="K758" s="140"/>
    </row>
    <row r="759" spans="1:11">
      <c r="A759" s="138"/>
      <c r="B759" s="138"/>
      <c r="C759" s="144"/>
      <c r="D759" s="143"/>
      <c r="E759" s="140"/>
      <c r="F759" s="140"/>
      <c r="G759" s="140"/>
      <c r="H759" s="140"/>
      <c r="I759" s="140"/>
      <c r="J759" s="140"/>
      <c r="K759" s="140"/>
    </row>
    <row r="760" spans="1:11">
      <c r="A760" s="138"/>
      <c r="B760" s="138"/>
      <c r="C760" s="144"/>
      <c r="D760" s="143"/>
      <c r="E760" s="140"/>
      <c r="F760" s="140"/>
      <c r="G760" s="140"/>
      <c r="H760" s="140"/>
      <c r="I760" s="140"/>
      <c r="J760" s="140"/>
      <c r="K760" s="140"/>
    </row>
    <row r="761" spans="1:11">
      <c r="A761" s="138"/>
      <c r="B761" s="138"/>
      <c r="C761" s="144"/>
      <c r="D761" s="143"/>
      <c r="E761" s="140"/>
      <c r="F761" s="140"/>
      <c r="G761" s="140"/>
      <c r="H761" s="140"/>
      <c r="I761" s="140"/>
      <c r="J761" s="140"/>
      <c r="K761" s="140"/>
    </row>
    <row r="762" spans="1:11">
      <c r="A762" s="138"/>
      <c r="B762" s="138"/>
      <c r="C762" s="144"/>
      <c r="D762" s="143"/>
      <c r="E762" s="140"/>
      <c r="F762" s="140"/>
      <c r="G762" s="140"/>
      <c r="H762" s="140"/>
      <c r="I762" s="140"/>
      <c r="J762" s="140"/>
      <c r="K762" s="140"/>
    </row>
    <row r="763" spans="1:11">
      <c r="A763" s="138"/>
      <c r="B763" s="138"/>
      <c r="C763" s="144"/>
      <c r="D763" s="143"/>
      <c r="E763" s="140"/>
      <c r="F763" s="140"/>
      <c r="G763" s="140"/>
      <c r="H763" s="140"/>
      <c r="I763" s="140"/>
      <c r="J763" s="140"/>
      <c r="K763" s="140"/>
    </row>
    <row r="764" spans="1:11">
      <c r="A764" s="138"/>
      <c r="B764" s="138"/>
      <c r="C764" s="144"/>
      <c r="D764" s="143"/>
      <c r="E764" s="140"/>
      <c r="F764" s="140"/>
      <c r="G764" s="140"/>
      <c r="H764" s="140"/>
      <c r="I764" s="140"/>
      <c r="J764" s="140"/>
      <c r="K764" s="140"/>
    </row>
    <row r="765" spans="1:11">
      <c r="A765" s="138"/>
      <c r="B765" s="138"/>
      <c r="C765" s="144"/>
      <c r="D765" s="143"/>
      <c r="E765" s="140"/>
      <c r="F765" s="140"/>
      <c r="G765" s="140"/>
      <c r="H765" s="140"/>
      <c r="I765" s="140"/>
      <c r="J765" s="140"/>
      <c r="K765" s="140"/>
    </row>
    <row r="766" spans="1:11">
      <c r="A766" s="138"/>
      <c r="B766" s="138"/>
      <c r="C766" s="144"/>
      <c r="D766" s="143"/>
      <c r="E766" s="140"/>
      <c r="F766" s="140"/>
      <c r="G766" s="140"/>
      <c r="H766" s="140"/>
      <c r="I766" s="140"/>
      <c r="J766" s="140"/>
      <c r="K766" s="140"/>
    </row>
    <row r="767" spans="1:11">
      <c r="A767" s="138"/>
      <c r="B767" s="138"/>
      <c r="C767" s="144"/>
      <c r="D767" s="143"/>
      <c r="E767" s="140"/>
      <c r="F767" s="140"/>
      <c r="G767" s="140"/>
      <c r="H767" s="140"/>
      <c r="I767" s="140"/>
      <c r="J767" s="140"/>
      <c r="K767" s="140"/>
    </row>
    <row r="768" spans="1:11">
      <c r="A768" s="138"/>
      <c r="B768" s="138"/>
      <c r="C768" s="144"/>
      <c r="D768" s="143"/>
      <c r="E768" s="140"/>
      <c r="F768" s="140"/>
      <c r="G768" s="140"/>
      <c r="H768" s="140"/>
      <c r="I768" s="140"/>
      <c r="J768" s="140"/>
      <c r="K768" s="140"/>
    </row>
    <row r="769" spans="1:11">
      <c r="A769" s="138"/>
      <c r="B769" s="138"/>
      <c r="C769" s="144"/>
      <c r="D769" s="143"/>
      <c r="E769" s="140"/>
      <c r="F769" s="140"/>
      <c r="G769" s="140"/>
      <c r="H769" s="140"/>
      <c r="I769" s="140"/>
      <c r="J769" s="140"/>
      <c r="K769" s="140"/>
    </row>
    <row r="770" spans="1:11">
      <c r="A770" s="138"/>
      <c r="B770" s="138"/>
      <c r="C770" s="144"/>
      <c r="D770" s="143"/>
      <c r="E770" s="140"/>
      <c r="F770" s="140"/>
      <c r="G770" s="140"/>
      <c r="H770" s="140"/>
      <c r="I770" s="140"/>
      <c r="J770" s="140"/>
      <c r="K770" s="140"/>
    </row>
    <row r="771" spans="1:11">
      <c r="A771" s="138"/>
      <c r="B771" s="138"/>
      <c r="C771" s="144"/>
      <c r="D771" s="143"/>
      <c r="E771" s="140"/>
      <c r="F771" s="140"/>
      <c r="G771" s="140"/>
      <c r="H771" s="140"/>
      <c r="I771" s="140"/>
      <c r="J771" s="140"/>
      <c r="K771" s="140"/>
    </row>
    <row r="772" spans="1:11">
      <c r="A772" s="138"/>
      <c r="B772" s="138"/>
      <c r="C772" s="144"/>
      <c r="D772" s="143"/>
      <c r="E772" s="140"/>
      <c r="F772" s="140"/>
      <c r="G772" s="140"/>
      <c r="H772" s="140"/>
      <c r="I772" s="140"/>
      <c r="J772" s="140"/>
      <c r="K772" s="140"/>
    </row>
    <row r="773" spans="1:11">
      <c r="A773" s="138"/>
      <c r="B773" s="138"/>
      <c r="C773" s="144"/>
      <c r="D773" s="143"/>
      <c r="E773" s="140"/>
      <c r="F773" s="140"/>
      <c r="G773" s="140"/>
      <c r="H773" s="140"/>
      <c r="I773" s="140"/>
      <c r="J773" s="140"/>
      <c r="K773" s="140"/>
    </row>
    <row r="774" spans="1:11">
      <c r="A774" s="138"/>
      <c r="B774" s="138"/>
      <c r="C774" s="144"/>
      <c r="D774" s="143"/>
      <c r="E774" s="140"/>
      <c r="F774" s="140"/>
      <c r="G774" s="140"/>
      <c r="H774" s="140"/>
      <c r="I774" s="140"/>
      <c r="J774" s="140"/>
      <c r="K774" s="140"/>
    </row>
    <row r="775" spans="1:11">
      <c r="A775" s="138"/>
      <c r="B775" s="138"/>
      <c r="C775" s="144"/>
      <c r="D775" s="143"/>
      <c r="E775" s="140"/>
      <c r="F775" s="140"/>
      <c r="G775" s="140"/>
      <c r="H775" s="140"/>
      <c r="I775" s="140"/>
      <c r="J775" s="140"/>
      <c r="K775" s="140"/>
    </row>
    <row r="776" spans="1:11">
      <c r="A776" s="138"/>
      <c r="B776" s="138"/>
      <c r="C776" s="144"/>
      <c r="D776" s="143"/>
      <c r="E776" s="140"/>
      <c r="F776" s="140"/>
      <c r="G776" s="140"/>
      <c r="H776" s="140"/>
      <c r="I776" s="140"/>
      <c r="J776" s="140"/>
      <c r="K776" s="140"/>
    </row>
    <row r="777" spans="1:11">
      <c r="A777" s="138"/>
      <c r="B777" s="138"/>
      <c r="C777" s="144"/>
      <c r="D777" s="143"/>
      <c r="E777" s="140"/>
      <c r="F777" s="140"/>
      <c r="G777" s="140"/>
      <c r="H777" s="140"/>
      <c r="I777" s="140"/>
      <c r="J777" s="140"/>
      <c r="K777" s="140"/>
    </row>
    <row r="778" spans="1:11">
      <c r="A778" s="138"/>
      <c r="B778" s="138"/>
      <c r="C778" s="144"/>
      <c r="D778" s="143"/>
      <c r="E778" s="140"/>
      <c r="F778" s="140"/>
      <c r="G778" s="140"/>
      <c r="H778" s="140"/>
      <c r="I778" s="140"/>
      <c r="J778" s="140"/>
      <c r="K778" s="140"/>
    </row>
    <row r="779" spans="1:11">
      <c r="A779" s="138"/>
      <c r="B779" s="138"/>
      <c r="C779" s="144"/>
      <c r="D779" s="143"/>
      <c r="E779" s="140"/>
      <c r="F779" s="140"/>
      <c r="G779" s="140"/>
      <c r="H779" s="140"/>
      <c r="I779" s="140"/>
      <c r="J779" s="140"/>
      <c r="K779" s="140"/>
    </row>
    <row r="780" spans="1:11">
      <c r="A780" s="138"/>
      <c r="B780" s="138"/>
      <c r="C780" s="144"/>
      <c r="D780" s="143"/>
      <c r="E780" s="140"/>
      <c r="F780" s="140"/>
      <c r="G780" s="140"/>
      <c r="H780" s="140"/>
      <c r="I780" s="140"/>
      <c r="J780" s="140"/>
      <c r="K780" s="140"/>
    </row>
    <row r="781" spans="1:11">
      <c r="A781" s="138"/>
      <c r="B781" s="138"/>
      <c r="C781" s="144"/>
      <c r="D781" s="143"/>
      <c r="E781" s="140"/>
      <c r="F781" s="140"/>
      <c r="G781" s="140"/>
      <c r="H781" s="140"/>
      <c r="I781" s="140"/>
      <c r="J781" s="140"/>
      <c r="K781" s="140"/>
    </row>
    <row r="782" spans="1:11">
      <c r="A782" s="138"/>
      <c r="B782" s="138"/>
      <c r="C782" s="144"/>
      <c r="D782" s="143"/>
      <c r="E782" s="140"/>
      <c r="F782" s="140"/>
      <c r="G782" s="140"/>
      <c r="H782" s="140"/>
      <c r="I782" s="140"/>
      <c r="J782" s="140"/>
      <c r="K782" s="140"/>
    </row>
    <row r="783" spans="1:11">
      <c r="A783" s="138"/>
      <c r="B783" s="138"/>
      <c r="C783" s="144"/>
      <c r="D783" s="143"/>
      <c r="E783" s="140"/>
      <c r="F783" s="140"/>
      <c r="G783" s="140"/>
      <c r="H783" s="140"/>
      <c r="I783" s="140"/>
      <c r="J783" s="140"/>
      <c r="K783" s="140"/>
    </row>
    <row r="784" spans="1:11">
      <c r="A784" s="138"/>
      <c r="B784" s="138"/>
      <c r="C784" s="144"/>
      <c r="D784" s="143"/>
      <c r="E784" s="140"/>
      <c r="F784" s="140"/>
      <c r="G784" s="140"/>
      <c r="H784" s="140"/>
      <c r="I784" s="140"/>
      <c r="J784" s="140"/>
      <c r="K784" s="140"/>
    </row>
    <row r="785" spans="1:11">
      <c r="A785" s="138"/>
      <c r="B785" s="138"/>
      <c r="C785" s="144"/>
      <c r="D785" s="143"/>
      <c r="E785" s="140"/>
      <c r="F785" s="140"/>
      <c r="G785" s="140"/>
      <c r="H785" s="140"/>
      <c r="I785" s="140"/>
      <c r="J785" s="140"/>
      <c r="K785" s="140"/>
    </row>
    <row r="786" spans="1:11">
      <c r="A786" s="138"/>
      <c r="B786" s="138"/>
      <c r="C786" s="144"/>
      <c r="D786" s="143"/>
      <c r="E786" s="140"/>
      <c r="F786" s="140"/>
      <c r="G786" s="140"/>
      <c r="H786" s="140"/>
      <c r="I786" s="140"/>
      <c r="J786" s="140"/>
      <c r="K786" s="140"/>
    </row>
    <row r="787" spans="1:11">
      <c r="A787" s="138"/>
      <c r="B787" s="138"/>
      <c r="C787" s="144"/>
      <c r="D787" s="143"/>
      <c r="E787" s="140"/>
      <c r="F787" s="140"/>
      <c r="G787" s="140"/>
      <c r="H787" s="140"/>
      <c r="I787" s="140"/>
      <c r="J787" s="140"/>
      <c r="K787" s="140"/>
    </row>
    <row r="788" spans="1:11">
      <c r="A788" s="138"/>
      <c r="B788" s="138"/>
      <c r="C788" s="144"/>
      <c r="D788" s="143"/>
      <c r="E788" s="140"/>
      <c r="F788" s="140"/>
      <c r="G788" s="140"/>
      <c r="H788" s="140"/>
      <c r="I788" s="140"/>
      <c r="J788" s="140"/>
      <c r="K788" s="140"/>
    </row>
    <row r="789" spans="1:11">
      <c r="A789" s="138"/>
      <c r="B789" s="138"/>
      <c r="C789" s="144"/>
      <c r="D789" s="143"/>
      <c r="E789" s="140"/>
      <c r="F789" s="140"/>
      <c r="G789" s="140"/>
      <c r="H789" s="140"/>
      <c r="I789" s="140"/>
      <c r="J789" s="140"/>
      <c r="K789" s="140"/>
    </row>
    <row r="790" spans="1:11">
      <c r="A790" s="138"/>
      <c r="B790" s="138"/>
      <c r="C790" s="144"/>
      <c r="D790" s="143"/>
      <c r="E790" s="140"/>
      <c r="F790" s="140"/>
      <c r="G790" s="140"/>
      <c r="H790" s="140"/>
      <c r="I790" s="140"/>
      <c r="J790" s="140"/>
      <c r="K790" s="140"/>
    </row>
    <row r="791" spans="1:11">
      <c r="A791" s="138"/>
      <c r="B791" s="138"/>
      <c r="C791" s="144"/>
      <c r="D791" s="143"/>
      <c r="E791" s="140"/>
      <c r="F791" s="140"/>
      <c r="G791" s="140"/>
      <c r="H791" s="140"/>
      <c r="I791" s="140"/>
      <c r="J791" s="140"/>
      <c r="K791" s="140"/>
    </row>
    <row r="792" spans="1:11">
      <c r="A792" s="138"/>
      <c r="B792" s="138"/>
      <c r="C792" s="144"/>
      <c r="D792" s="143"/>
      <c r="E792" s="140"/>
      <c r="F792" s="140"/>
      <c r="G792" s="140"/>
      <c r="H792" s="140"/>
      <c r="I792" s="140"/>
      <c r="J792" s="140"/>
      <c r="K792" s="140"/>
    </row>
    <row r="793" spans="1:11">
      <c r="A793" s="138"/>
      <c r="B793" s="138"/>
      <c r="C793" s="144"/>
      <c r="D793" s="143"/>
      <c r="E793" s="140"/>
      <c r="F793" s="140"/>
      <c r="G793" s="140"/>
      <c r="H793" s="140"/>
      <c r="I793" s="140"/>
      <c r="J793" s="140"/>
      <c r="K793" s="140"/>
    </row>
    <row r="794" spans="1:11">
      <c r="A794" s="138"/>
      <c r="B794" s="138"/>
      <c r="C794" s="144"/>
      <c r="D794" s="143"/>
      <c r="E794" s="140"/>
      <c r="F794" s="140"/>
      <c r="G794" s="140"/>
      <c r="H794" s="140"/>
      <c r="I794" s="140"/>
      <c r="J794" s="140"/>
      <c r="K794" s="140"/>
    </row>
    <row r="795" spans="1:11">
      <c r="A795" s="138"/>
      <c r="B795" s="138"/>
      <c r="C795" s="144"/>
      <c r="D795" s="143"/>
      <c r="E795" s="140"/>
      <c r="F795" s="140"/>
      <c r="G795" s="140"/>
      <c r="H795" s="140"/>
      <c r="I795" s="140"/>
      <c r="J795" s="140"/>
      <c r="K795" s="140"/>
    </row>
    <row r="796" spans="1:11">
      <c r="A796" s="138"/>
      <c r="B796" s="138"/>
      <c r="C796" s="144"/>
      <c r="D796" s="143"/>
      <c r="E796" s="140"/>
      <c r="F796" s="140"/>
      <c r="G796" s="140"/>
      <c r="H796" s="140"/>
      <c r="I796" s="140"/>
      <c r="J796" s="140"/>
      <c r="K796" s="140"/>
    </row>
    <row r="797" spans="1:11">
      <c r="A797" s="138"/>
      <c r="B797" s="138"/>
      <c r="C797" s="144"/>
      <c r="D797" s="143"/>
      <c r="E797" s="140"/>
      <c r="F797" s="140"/>
      <c r="G797" s="140"/>
      <c r="H797" s="140"/>
      <c r="I797" s="140"/>
      <c r="J797" s="140"/>
      <c r="K797" s="140"/>
    </row>
    <row r="798" spans="1:11">
      <c r="A798" s="138"/>
      <c r="B798" s="138"/>
      <c r="C798" s="144"/>
      <c r="D798" s="143"/>
      <c r="E798" s="140"/>
      <c r="F798" s="140"/>
      <c r="G798" s="140"/>
      <c r="H798" s="140"/>
      <c r="I798" s="140"/>
      <c r="J798" s="140"/>
      <c r="K798" s="140"/>
    </row>
    <row r="799" spans="1:11">
      <c r="A799" s="138"/>
      <c r="B799" s="138"/>
      <c r="C799" s="144"/>
      <c r="D799" s="143"/>
      <c r="E799" s="140"/>
      <c r="F799" s="140"/>
      <c r="G799" s="140"/>
      <c r="H799" s="140"/>
      <c r="I799" s="140"/>
      <c r="J799" s="140"/>
      <c r="K799" s="140"/>
    </row>
    <row r="800" spans="1:11">
      <c r="A800" s="138"/>
      <c r="B800" s="138"/>
      <c r="C800" s="144"/>
      <c r="D800" s="143"/>
      <c r="E800" s="140"/>
      <c r="F800" s="140"/>
      <c r="G800" s="140"/>
      <c r="H800" s="140"/>
      <c r="I800" s="140"/>
      <c r="J800" s="140"/>
      <c r="K800" s="140"/>
    </row>
    <row r="801" spans="1:11">
      <c r="A801" s="138"/>
      <c r="B801" s="138"/>
      <c r="C801" s="144"/>
      <c r="D801" s="143"/>
      <c r="E801" s="140"/>
      <c r="F801" s="140"/>
      <c r="G801" s="140"/>
      <c r="H801" s="140"/>
      <c r="I801" s="140"/>
      <c r="J801" s="140"/>
      <c r="K801" s="140"/>
    </row>
    <row r="802" spans="1:11">
      <c r="A802" s="138"/>
      <c r="B802" s="138"/>
      <c r="C802" s="144"/>
      <c r="D802" s="143"/>
      <c r="E802" s="140"/>
      <c r="F802" s="140"/>
      <c r="G802" s="140"/>
      <c r="H802" s="140"/>
      <c r="I802" s="140"/>
      <c r="J802" s="140"/>
      <c r="K802" s="140"/>
    </row>
    <row r="803" spans="1:11">
      <c r="A803" s="138"/>
      <c r="B803" s="138"/>
      <c r="C803" s="144"/>
      <c r="D803" s="143"/>
      <c r="E803" s="140"/>
      <c r="F803" s="140"/>
      <c r="G803" s="140"/>
      <c r="H803" s="140"/>
      <c r="I803" s="140"/>
      <c r="J803" s="140"/>
      <c r="K803" s="140"/>
    </row>
    <row r="804" spans="1:11">
      <c r="A804" s="138"/>
      <c r="B804" s="138"/>
      <c r="C804" s="144"/>
      <c r="D804" s="143"/>
      <c r="E804" s="140"/>
      <c r="F804" s="140"/>
      <c r="G804" s="140"/>
      <c r="H804" s="140"/>
      <c r="I804" s="140"/>
      <c r="J804" s="140"/>
      <c r="K804" s="140"/>
    </row>
    <row r="805" spans="1:11">
      <c r="A805" s="138"/>
      <c r="B805" s="138"/>
      <c r="C805" s="144"/>
      <c r="D805" s="143"/>
      <c r="E805" s="140"/>
      <c r="F805" s="140"/>
      <c r="G805" s="140"/>
      <c r="H805" s="140"/>
      <c r="I805" s="140"/>
      <c r="J805" s="140"/>
      <c r="K805" s="140"/>
    </row>
    <row r="806" spans="1:11">
      <c r="A806" s="138"/>
      <c r="B806" s="138"/>
      <c r="C806" s="144"/>
      <c r="D806" s="143"/>
      <c r="E806" s="140"/>
      <c r="F806" s="140"/>
      <c r="G806" s="140"/>
      <c r="H806" s="140"/>
      <c r="I806" s="140"/>
      <c r="J806" s="140"/>
      <c r="K806" s="140"/>
    </row>
    <row r="807" spans="1:11">
      <c r="A807" s="138"/>
      <c r="B807" s="138"/>
      <c r="C807" s="144"/>
      <c r="D807" s="143"/>
      <c r="E807" s="140"/>
      <c r="F807" s="140"/>
      <c r="G807" s="140"/>
      <c r="H807" s="140"/>
      <c r="I807" s="140"/>
      <c r="J807" s="140"/>
      <c r="K807" s="140"/>
    </row>
    <row r="808" spans="1:11">
      <c r="A808" s="138"/>
      <c r="B808" s="138"/>
      <c r="C808" s="144"/>
      <c r="D808" s="143"/>
      <c r="E808" s="140"/>
      <c r="F808" s="140"/>
      <c r="G808" s="140"/>
      <c r="H808" s="140"/>
      <c r="I808" s="140"/>
      <c r="J808" s="140"/>
      <c r="K808" s="140"/>
    </row>
    <row r="809" spans="1:11">
      <c r="A809" s="138"/>
      <c r="B809" s="138"/>
      <c r="C809" s="144"/>
      <c r="D809" s="143"/>
      <c r="E809" s="140"/>
      <c r="F809" s="140"/>
      <c r="G809" s="140"/>
      <c r="H809" s="140"/>
      <c r="I809" s="140"/>
      <c r="J809" s="140"/>
      <c r="K809" s="140"/>
    </row>
    <row r="810" spans="1:11">
      <c r="A810" s="138"/>
      <c r="B810" s="138"/>
      <c r="C810" s="144"/>
      <c r="D810" s="143"/>
      <c r="E810" s="140"/>
      <c r="F810" s="140"/>
      <c r="G810" s="140"/>
      <c r="H810" s="140"/>
      <c r="I810" s="140"/>
      <c r="J810" s="140"/>
      <c r="K810" s="140"/>
    </row>
    <row r="811" spans="1:11">
      <c r="A811" s="138"/>
      <c r="B811" s="138"/>
      <c r="C811" s="144"/>
      <c r="D811" s="143"/>
      <c r="E811" s="140"/>
      <c r="F811" s="140"/>
      <c r="G811" s="140"/>
      <c r="H811" s="140"/>
      <c r="I811" s="140"/>
      <c r="J811" s="140"/>
      <c r="K811" s="140"/>
    </row>
    <row r="812" spans="1:11">
      <c r="A812" s="138"/>
      <c r="B812" s="138"/>
      <c r="C812" s="144"/>
      <c r="D812" s="143"/>
      <c r="E812" s="140"/>
      <c r="F812" s="140"/>
      <c r="G812" s="140"/>
      <c r="H812" s="140"/>
      <c r="I812" s="140"/>
      <c r="J812" s="140"/>
      <c r="K812" s="140"/>
    </row>
    <row r="813" spans="1:11">
      <c r="A813" s="138"/>
      <c r="B813" s="138"/>
      <c r="C813" s="144"/>
      <c r="D813" s="143"/>
      <c r="E813" s="140"/>
      <c r="F813" s="140"/>
      <c r="G813" s="140"/>
      <c r="H813" s="140"/>
      <c r="I813" s="140"/>
      <c r="J813" s="140"/>
      <c r="K813" s="140"/>
    </row>
    <row r="814" spans="1:11">
      <c r="A814" s="138"/>
      <c r="B814" s="138"/>
      <c r="C814" s="144"/>
      <c r="D814" s="143"/>
      <c r="E814" s="140"/>
      <c r="F814" s="140"/>
      <c r="G814" s="140"/>
      <c r="H814" s="140"/>
      <c r="I814" s="140"/>
      <c r="J814" s="140"/>
      <c r="K814" s="140"/>
    </row>
    <row r="815" spans="1:11">
      <c r="A815" s="138"/>
      <c r="B815" s="138"/>
      <c r="C815" s="144"/>
      <c r="D815" s="143"/>
      <c r="E815" s="140"/>
      <c r="F815" s="140"/>
      <c r="G815" s="140"/>
      <c r="H815" s="140"/>
      <c r="I815" s="140"/>
      <c r="J815" s="140"/>
      <c r="K815" s="140"/>
    </row>
    <row r="816" spans="1:11">
      <c r="A816" s="138"/>
      <c r="B816" s="138"/>
      <c r="C816" s="144"/>
      <c r="D816" s="143"/>
      <c r="E816" s="140"/>
      <c r="F816" s="140"/>
      <c r="G816" s="140"/>
      <c r="H816" s="140"/>
      <c r="I816" s="140"/>
      <c r="J816" s="140"/>
      <c r="K816" s="140"/>
    </row>
    <row r="817" spans="1:11">
      <c r="A817" s="138"/>
      <c r="B817" s="138"/>
      <c r="C817" s="144"/>
      <c r="D817" s="143"/>
      <c r="E817" s="140"/>
      <c r="F817" s="140"/>
      <c r="G817" s="140"/>
      <c r="H817" s="140"/>
      <c r="I817" s="140"/>
      <c r="J817" s="140"/>
      <c r="K817" s="140"/>
    </row>
    <row r="818" spans="1:11">
      <c r="A818" s="138"/>
      <c r="B818" s="138"/>
      <c r="C818" s="144"/>
      <c r="D818" s="143"/>
      <c r="E818" s="140"/>
      <c r="F818" s="140"/>
      <c r="G818" s="140"/>
      <c r="H818" s="140"/>
      <c r="I818" s="140"/>
      <c r="J818" s="140"/>
      <c r="K818" s="140"/>
    </row>
    <row r="819" spans="1:11">
      <c r="A819" s="138"/>
      <c r="B819" s="138"/>
      <c r="C819" s="144"/>
      <c r="D819" s="143"/>
      <c r="E819" s="140"/>
      <c r="F819" s="140"/>
      <c r="G819" s="140"/>
      <c r="H819" s="140"/>
      <c r="I819" s="140"/>
      <c r="J819" s="140"/>
      <c r="K819" s="140"/>
    </row>
    <row r="820" spans="1:11">
      <c r="A820" s="138"/>
      <c r="B820" s="138"/>
      <c r="C820" s="144"/>
      <c r="D820" s="143"/>
      <c r="E820" s="140"/>
      <c r="F820" s="140"/>
      <c r="G820" s="140"/>
      <c r="H820" s="140"/>
      <c r="I820" s="140"/>
      <c r="J820" s="140"/>
      <c r="K820" s="140"/>
    </row>
    <row r="821" spans="1:11">
      <c r="A821" s="138"/>
      <c r="B821" s="138"/>
      <c r="C821" s="144"/>
      <c r="D821" s="143"/>
      <c r="E821" s="140"/>
      <c r="F821" s="140"/>
      <c r="G821" s="140"/>
      <c r="H821" s="140"/>
      <c r="I821" s="140"/>
      <c r="J821" s="140"/>
      <c r="K821" s="140"/>
    </row>
    <row r="822" spans="1:11">
      <c r="A822" s="138"/>
      <c r="B822" s="138"/>
      <c r="C822" s="144"/>
      <c r="D822" s="143"/>
      <c r="E822" s="140"/>
      <c r="F822" s="140"/>
      <c r="G822" s="140"/>
      <c r="H822" s="140"/>
      <c r="I822" s="140"/>
      <c r="J822" s="140"/>
      <c r="K822" s="140"/>
    </row>
    <row r="823" spans="1:11">
      <c r="A823" s="138"/>
      <c r="B823" s="138"/>
      <c r="C823" s="144"/>
      <c r="D823" s="143"/>
      <c r="E823" s="140"/>
      <c r="F823" s="140"/>
      <c r="G823" s="140"/>
      <c r="H823" s="140"/>
      <c r="I823" s="140"/>
      <c r="J823" s="140"/>
      <c r="K823" s="140"/>
    </row>
    <row r="824" spans="1:11">
      <c r="A824" s="138"/>
      <c r="B824" s="138"/>
      <c r="C824" s="144"/>
      <c r="D824" s="143"/>
      <c r="E824" s="140"/>
      <c r="F824" s="140"/>
      <c r="G824" s="140"/>
      <c r="H824" s="140"/>
      <c r="I824" s="140"/>
      <c r="J824" s="140"/>
      <c r="K824" s="140"/>
    </row>
    <row r="825" spans="1:11">
      <c r="A825" s="138"/>
      <c r="B825" s="138"/>
      <c r="C825" s="144"/>
      <c r="D825" s="143"/>
      <c r="E825" s="140"/>
      <c r="F825" s="140"/>
      <c r="G825" s="140"/>
      <c r="H825" s="140"/>
      <c r="I825" s="140"/>
      <c r="J825" s="140"/>
      <c r="K825" s="140"/>
    </row>
    <row r="826" spans="1:11">
      <c r="A826" s="138"/>
      <c r="B826" s="138"/>
      <c r="C826" s="144"/>
      <c r="D826" s="143"/>
      <c r="E826" s="140"/>
      <c r="F826" s="140"/>
      <c r="G826" s="140"/>
      <c r="H826" s="140"/>
      <c r="I826" s="140"/>
      <c r="J826" s="140"/>
      <c r="K826" s="140"/>
    </row>
    <row r="827" spans="1:11">
      <c r="A827" s="138"/>
      <c r="B827" s="138"/>
      <c r="C827" s="144"/>
      <c r="D827" s="143"/>
      <c r="E827" s="140"/>
      <c r="F827" s="140"/>
      <c r="G827" s="140"/>
      <c r="H827" s="140"/>
      <c r="I827" s="140"/>
      <c r="J827" s="140"/>
      <c r="K827" s="140"/>
    </row>
    <row r="828" spans="1:11">
      <c r="A828" s="138"/>
      <c r="B828" s="138"/>
      <c r="C828" s="144"/>
      <c r="D828" s="143"/>
      <c r="E828" s="140"/>
      <c r="F828" s="140"/>
      <c r="G828" s="140"/>
      <c r="H828" s="140"/>
      <c r="I828" s="140"/>
      <c r="J828" s="140"/>
      <c r="K828" s="140"/>
    </row>
    <row r="829" spans="1:11">
      <c r="A829" s="138"/>
      <c r="B829" s="138"/>
      <c r="C829" s="144"/>
      <c r="D829" s="143"/>
      <c r="E829" s="140"/>
      <c r="F829" s="140"/>
      <c r="G829" s="140"/>
      <c r="H829" s="140"/>
      <c r="I829" s="140"/>
      <c r="J829" s="140"/>
      <c r="K829" s="140"/>
    </row>
    <row r="830" spans="1:11">
      <c r="A830" s="138"/>
      <c r="B830" s="138"/>
      <c r="C830" s="144"/>
      <c r="D830" s="143"/>
      <c r="E830" s="140"/>
      <c r="F830" s="140"/>
      <c r="G830" s="140"/>
      <c r="H830" s="140"/>
      <c r="I830" s="140"/>
      <c r="J830" s="140"/>
      <c r="K830" s="140"/>
    </row>
    <row r="831" spans="1:11">
      <c r="A831" s="138"/>
      <c r="B831" s="138"/>
      <c r="C831" s="144"/>
      <c r="D831" s="143"/>
      <c r="E831" s="140"/>
      <c r="F831" s="140"/>
      <c r="G831" s="140"/>
      <c r="H831" s="140"/>
      <c r="I831" s="140"/>
      <c r="J831" s="140"/>
      <c r="K831" s="140"/>
    </row>
    <row r="832" spans="1:11">
      <c r="A832" s="138"/>
      <c r="B832" s="138"/>
      <c r="C832" s="144"/>
      <c r="D832" s="143"/>
      <c r="E832" s="140"/>
      <c r="F832" s="140"/>
      <c r="G832" s="140"/>
      <c r="H832" s="140"/>
      <c r="I832" s="140"/>
      <c r="J832" s="140"/>
      <c r="K832" s="140"/>
    </row>
    <row r="833" spans="1:11">
      <c r="A833" s="138"/>
      <c r="B833" s="138"/>
      <c r="C833" s="144"/>
      <c r="D833" s="143"/>
      <c r="E833" s="140"/>
      <c r="F833" s="140"/>
      <c r="G833" s="140"/>
      <c r="H833" s="140"/>
      <c r="I833" s="140"/>
      <c r="J833" s="140"/>
      <c r="K833" s="140"/>
    </row>
    <row r="834" spans="1:11">
      <c r="A834" s="138"/>
      <c r="B834" s="138"/>
      <c r="C834" s="144"/>
      <c r="D834" s="143"/>
      <c r="E834" s="140"/>
      <c r="F834" s="140"/>
      <c r="G834" s="140"/>
      <c r="H834" s="140"/>
      <c r="I834" s="140"/>
      <c r="J834" s="140"/>
      <c r="K834" s="140"/>
    </row>
    <row r="835" spans="1:11">
      <c r="A835" s="138"/>
      <c r="B835" s="138"/>
      <c r="C835" s="144"/>
      <c r="D835" s="143"/>
      <c r="E835" s="140"/>
      <c r="F835" s="140"/>
      <c r="G835" s="140"/>
      <c r="H835" s="140"/>
      <c r="I835" s="140"/>
      <c r="J835" s="140"/>
      <c r="K835" s="140"/>
    </row>
    <row r="836" spans="1:11">
      <c r="A836" s="138"/>
      <c r="B836" s="138"/>
      <c r="C836" s="144"/>
      <c r="D836" s="143"/>
      <c r="E836" s="140"/>
      <c r="F836" s="140"/>
      <c r="G836" s="140"/>
      <c r="H836" s="140"/>
      <c r="I836" s="140"/>
      <c r="J836" s="140"/>
      <c r="K836" s="140"/>
    </row>
    <row r="837" spans="1:11">
      <c r="A837" s="138"/>
      <c r="B837" s="138"/>
      <c r="C837" s="144"/>
      <c r="D837" s="143"/>
      <c r="E837" s="140"/>
      <c r="F837" s="140"/>
      <c r="G837" s="140"/>
      <c r="H837" s="140"/>
      <c r="I837" s="140"/>
      <c r="J837" s="140"/>
      <c r="K837" s="140"/>
    </row>
    <row r="838" spans="1:11">
      <c r="A838" s="138"/>
      <c r="B838" s="138"/>
      <c r="C838" s="144"/>
      <c r="D838" s="143"/>
      <c r="E838" s="140"/>
      <c r="F838" s="140"/>
      <c r="G838" s="140"/>
      <c r="H838" s="140"/>
      <c r="I838" s="140"/>
      <c r="J838" s="140"/>
      <c r="K838" s="140"/>
    </row>
    <row r="839" spans="1:11">
      <c r="A839" s="138"/>
      <c r="B839" s="138"/>
      <c r="C839" s="144"/>
      <c r="D839" s="143"/>
      <c r="E839" s="140"/>
      <c r="F839" s="140"/>
      <c r="G839" s="140"/>
      <c r="H839" s="140"/>
      <c r="I839" s="140"/>
      <c r="J839" s="140"/>
      <c r="K839" s="140"/>
    </row>
    <row r="840" spans="1:11">
      <c r="A840" s="138"/>
      <c r="B840" s="138"/>
      <c r="C840" s="144"/>
      <c r="D840" s="143"/>
      <c r="E840" s="140"/>
      <c r="F840" s="140"/>
      <c r="G840" s="140"/>
      <c r="H840" s="140"/>
      <c r="I840" s="140"/>
      <c r="J840" s="140"/>
      <c r="K840" s="140"/>
    </row>
    <row r="841" spans="1:11">
      <c r="A841" s="138"/>
      <c r="B841" s="138"/>
      <c r="C841" s="144"/>
      <c r="D841" s="143"/>
      <c r="E841" s="140"/>
      <c r="F841" s="140"/>
      <c r="G841" s="140"/>
      <c r="H841" s="140"/>
      <c r="I841" s="140"/>
      <c r="J841" s="140"/>
      <c r="K841" s="140"/>
    </row>
    <row r="842" spans="1:11">
      <c r="A842" s="138"/>
      <c r="B842" s="138"/>
      <c r="C842" s="144"/>
      <c r="D842" s="143"/>
      <c r="E842" s="140"/>
      <c r="F842" s="140"/>
      <c r="G842" s="140"/>
      <c r="H842" s="140"/>
      <c r="I842" s="140"/>
      <c r="J842" s="140"/>
      <c r="K842" s="140"/>
    </row>
    <row r="843" spans="1:11">
      <c r="A843" s="138"/>
      <c r="B843" s="138"/>
      <c r="C843" s="144"/>
      <c r="D843" s="143"/>
      <c r="E843" s="140"/>
      <c r="F843" s="140"/>
      <c r="G843" s="140"/>
      <c r="H843" s="140"/>
      <c r="I843" s="140"/>
      <c r="J843" s="140"/>
      <c r="K843" s="140"/>
    </row>
    <row r="844" spans="1:11">
      <c r="A844" s="138"/>
      <c r="B844" s="138"/>
      <c r="C844" s="144"/>
      <c r="D844" s="143"/>
      <c r="E844" s="140"/>
      <c r="F844" s="140"/>
      <c r="G844" s="140"/>
      <c r="H844" s="140"/>
      <c r="I844" s="140"/>
      <c r="J844" s="140"/>
      <c r="K844" s="140"/>
    </row>
    <row r="845" spans="1:11">
      <c r="A845" s="138"/>
      <c r="B845" s="138"/>
      <c r="C845" s="144"/>
      <c r="D845" s="143"/>
      <c r="E845" s="140"/>
      <c r="F845" s="140"/>
      <c r="G845" s="140"/>
      <c r="H845" s="140"/>
      <c r="I845" s="140"/>
      <c r="J845" s="140"/>
      <c r="K845" s="140"/>
    </row>
    <row r="846" spans="1:11">
      <c r="A846" s="138"/>
      <c r="B846" s="138"/>
      <c r="C846" s="144"/>
      <c r="D846" s="143"/>
      <c r="E846" s="140"/>
      <c r="F846" s="140"/>
      <c r="G846" s="140"/>
      <c r="H846" s="140"/>
      <c r="I846" s="140"/>
      <c r="J846" s="140"/>
      <c r="K846" s="140"/>
    </row>
    <row r="847" spans="1:11">
      <c r="A847" s="138"/>
      <c r="B847" s="138"/>
      <c r="C847" s="144"/>
      <c r="D847" s="143"/>
      <c r="E847" s="140"/>
      <c r="F847" s="140"/>
      <c r="G847" s="140"/>
      <c r="H847" s="140"/>
      <c r="I847" s="140"/>
      <c r="J847" s="140"/>
      <c r="K847" s="140"/>
    </row>
    <row r="848" spans="1:11">
      <c r="A848" s="138"/>
      <c r="B848" s="138"/>
      <c r="C848" s="144"/>
      <c r="D848" s="143"/>
      <c r="E848" s="140"/>
      <c r="F848" s="140"/>
      <c r="G848" s="140"/>
      <c r="H848" s="140"/>
      <c r="I848" s="140"/>
      <c r="J848" s="140"/>
      <c r="K848" s="140"/>
    </row>
    <row r="849" spans="1:11">
      <c r="A849" s="138"/>
      <c r="B849" s="138"/>
      <c r="C849" s="144"/>
      <c r="D849" s="143"/>
      <c r="E849" s="140"/>
      <c r="F849" s="140"/>
      <c r="G849" s="140"/>
      <c r="H849" s="140"/>
      <c r="I849" s="140"/>
      <c r="J849" s="140"/>
      <c r="K849" s="140"/>
    </row>
    <row r="850" spans="1:11">
      <c r="A850" s="138"/>
      <c r="B850" s="138"/>
      <c r="C850" s="144"/>
      <c r="D850" s="143"/>
      <c r="E850" s="140"/>
      <c r="F850" s="140"/>
      <c r="G850" s="140"/>
      <c r="H850" s="140"/>
      <c r="I850" s="140"/>
      <c r="J850" s="140"/>
      <c r="K850" s="140"/>
    </row>
    <row r="851" spans="1:11">
      <c r="A851" s="138"/>
      <c r="B851" s="138"/>
      <c r="C851" s="144"/>
      <c r="D851" s="143"/>
      <c r="E851" s="140"/>
      <c r="F851" s="140"/>
      <c r="G851" s="140"/>
      <c r="H851" s="140"/>
      <c r="I851" s="140"/>
      <c r="J851" s="140"/>
      <c r="K851" s="140"/>
    </row>
    <row r="852" spans="1:11">
      <c r="A852" s="138"/>
      <c r="B852" s="138"/>
      <c r="C852" s="144"/>
      <c r="D852" s="143"/>
      <c r="E852" s="140"/>
      <c r="F852" s="140"/>
      <c r="G852" s="140"/>
      <c r="H852" s="140"/>
      <c r="I852" s="140"/>
      <c r="J852" s="140"/>
      <c r="K852" s="140"/>
    </row>
    <row r="853" spans="1:11">
      <c r="A853" s="138"/>
      <c r="B853" s="138"/>
      <c r="C853" s="144"/>
      <c r="D853" s="143"/>
      <c r="E853" s="140"/>
      <c r="F853" s="140"/>
      <c r="G853" s="140"/>
      <c r="H853" s="140"/>
      <c r="I853" s="140"/>
      <c r="J853" s="140"/>
      <c r="K853" s="140"/>
    </row>
    <row r="854" spans="1:11">
      <c r="A854" s="138"/>
      <c r="B854" s="138"/>
      <c r="C854" s="144"/>
      <c r="D854" s="143"/>
      <c r="E854" s="140"/>
      <c r="F854" s="140"/>
      <c r="G854" s="140"/>
      <c r="H854" s="140"/>
      <c r="I854" s="140"/>
      <c r="J854" s="140"/>
      <c r="K854" s="140"/>
    </row>
    <row r="855" spans="1:11">
      <c r="A855" s="138"/>
      <c r="B855" s="138"/>
      <c r="C855" s="144"/>
      <c r="D855" s="143"/>
      <c r="E855" s="140"/>
      <c r="F855" s="140"/>
      <c r="G855" s="140"/>
      <c r="H855" s="140"/>
      <c r="I855" s="140"/>
      <c r="J855" s="140"/>
      <c r="K855" s="140"/>
    </row>
    <row r="856" spans="1:11">
      <c r="A856" s="138"/>
      <c r="B856" s="138"/>
      <c r="C856" s="144"/>
      <c r="D856" s="143"/>
      <c r="E856" s="140"/>
      <c r="F856" s="140"/>
      <c r="G856" s="140"/>
      <c r="H856" s="140"/>
      <c r="I856" s="140"/>
      <c r="J856" s="140"/>
      <c r="K856" s="140"/>
    </row>
    <row r="857" spans="1:11">
      <c r="A857" s="138"/>
      <c r="B857" s="138"/>
      <c r="C857" s="144"/>
      <c r="D857" s="143"/>
      <c r="E857" s="140"/>
      <c r="F857" s="140"/>
      <c r="G857" s="140"/>
      <c r="H857" s="140"/>
      <c r="I857" s="140"/>
      <c r="J857" s="140"/>
      <c r="K857" s="140"/>
    </row>
    <row r="858" spans="1:11">
      <c r="A858" s="138"/>
      <c r="B858" s="138"/>
      <c r="C858" s="144"/>
      <c r="D858" s="143"/>
      <c r="E858" s="140"/>
      <c r="F858" s="140"/>
      <c r="G858" s="140"/>
      <c r="H858" s="140"/>
      <c r="I858" s="140"/>
      <c r="J858" s="140"/>
      <c r="K858" s="140"/>
    </row>
    <row r="859" spans="1:11">
      <c r="A859" s="138"/>
      <c r="B859" s="138"/>
      <c r="C859" s="144"/>
      <c r="D859" s="143"/>
      <c r="E859" s="140"/>
      <c r="F859" s="140"/>
      <c r="G859" s="140"/>
      <c r="H859" s="140"/>
      <c r="I859" s="140"/>
      <c r="J859" s="140"/>
      <c r="K859" s="140"/>
    </row>
    <row r="860" spans="1:11">
      <c r="A860" s="138"/>
      <c r="B860" s="138"/>
      <c r="C860" s="144"/>
      <c r="D860" s="143"/>
      <c r="E860" s="140"/>
      <c r="F860" s="140"/>
      <c r="G860" s="140"/>
      <c r="H860" s="140"/>
      <c r="I860" s="140"/>
      <c r="J860" s="140"/>
      <c r="K860" s="140"/>
    </row>
    <row r="861" spans="1:11">
      <c r="A861" s="138"/>
      <c r="B861" s="138"/>
      <c r="C861" s="144"/>
      <c r="D861" s="143"/>
      <c r="E861" s="140"/>
      <c r="F861" s="140"/>
      <c r="G861" s="140"/>
      <c r="H861" s="140"/>
      <c r="I861" s="140"/>
      <c r="J861" s="140"/>
      <c r="K861" s="140"/>
    </row>
    <row r="862" spans="1:11">
      <c r="A862" s="138"/>
      <c r="B862" s="138"/>
      <c r="C862" s="144"/>
      <c r="D862" s="143"/>
      <c r="E862" s="140"/>
      <c r="F862" s="140"/>
      <c r="G862" s="140"/>
      <c r="H862" s="140"/>
      <c r="I862" s="140"/>
      <c r="J862" s="140"/>
      <c r="K862" s="140"/>
    </row>
    <row r="863" spans="1:11">
      <c r="A863" s="138"/>
      <c r="B863" s="138"/>
      <c r="C863" s="144"/>
      <c r="D863" s="143"/>
      <c r="E863" s="140"/>
      <c r="F863" s="140"/>
      <c r="G863" s="140"/>
      <c r="H863" s="140"/>
      <c r="I863" s="140"/>
      <c r="J863" s="140"/>
      <c r="K863" s="140"/>
    </row>
    <row r="864" spans="1:11">
      <c r="A864" s="138"/>
      <c r="B864" s="138"/>
      <c r="C864" s="144"/>
      <c r="D864" s="143"/>
      <c r="E864" s="140"/>
      <c r="F864" s="140"/>
      <c r="G864" s="140"/>
      <c r="H864" s="140"/>
      <c r="I864" s="140"/>
      <c r="J864" s="140"/>
      <c r="K864" s="140"/>
    </row>
    <row r="865" spans="1:11">
      <c r="A865" s="138"/>
      <c r="B865" s="138"/>
      <c r="C865" s="144"/>
      <c r="D865" s="143"/>
      <c r="E865" s="140"/>
      <c r="F865" s="140"/>
      <c r="G865" s="140"/>
      <c r="H865" s="140"/>
      <c r="I865" s="140"/>
      <c r="J865" s="140"/>
      <c r="K865" s="140"/>
    </row>
    <row r="866" spans="1:11">
      <c r="A866" s="138"/>
      <c r="B866" s="138"/>
      <c r="C866" s="144"/>
      <c r="D866" s="143"/>
      <c r="E866" s="140"/>
      <c r="F866" s="140"/>
      <c r="G866" s="140"/>
      <c r="H866" s="140"/>
      <c r="I866" s="140"/>
      <c r="J866" s="140"/>
      <c r="K866" s="140"/>
    </row>
    <row r="867" spans="1:11">
      <c r="A867" s="138"/>
      <c r="B867" s="138"/>
      <c r="C867" s="144"/>
      <c r="D867" s="143"/>
      <c r="E867" s="140"/>
      <c r="F867" s="140"/>
      <c r="G867" s="140"/>
      <c r="H867" s="140"/>
      <c r="I867" s="140"/>
      <c r="J867" s="140"/>
      <c r="K867" s="140"/>
    </row>
    <row r="868" spans="1:11">
      <c r="A868" s="138"/>
      <c r="B868" s="138"/>
      <c r="C868" s="144"/>
      <c r="D868" s="143"/>
      <c r="E868" s="140"/>
      <c r="F868" s="140"/>
      <c r="G868" s="140"/>
      <c r="H868" s="140"/>
      <c r="I868" s="140"/>
      <c r="J868" s="140"/>
      <c r="K868" s="140"/>
    </row>
    <row r="869" spans="1:11">
      <c r="A869" s="138"/>
      <c r="B869" s="138"/>
      <c r="C869" s="144"/>
      <c r="D869" s="143"/>
      <c r="E869" s="140"/>
      <c r="F869" s="140"/>
      <c r="G869" s="140"/>
      <c r="H869" s="140"/>
      <c r="I869" s="140"/>
      <c r="J869" s="140"/>
      <c r="K869" s="140"/>
    </row>
    <row r="870" spans="1:11">
      <c r="A870" s="138"/>
      <c r="B870" s="138"/>
      <c r="C870" s="144"/>
      <c r="D870" s="143"/>
      <c r="E870" s="140"/>
      <c r="F870" s="140"/>
      <c r="G870" s="140"/>
      <c r="H870" s="140"/>
      <c r="I870" s="140"/>
      <c r="J870" s="140"/>
      <c r="K870" s="140"/>
    </row>
    <row r="871" spans="1:11">
      <c r="A871" s="138"/>
      <c r="B871" s="138"/>
      <c r="C871" s="144"/>
      <c r="D871" s="143"/>
      <c r="E871" s="140"/>
      <c r="F871" s="140"/>
      <c r="G871" s="140"/>
      <c r="H871" s="140"/>
      <c r="I871" s="140"/>
      <c r="J871" s="140"/>
      <c r="K871" s="140"/>
    </row>
    <row r="872" spans="1:11">
      <c r="A872" s="138"/>
      <c r="B872" s="138"/>
      <c r="C872" s="144"/>
      <c r="D872" s="143"/>
      <c r="E872" s="140"/>
      <c r="F872" s="140"/>
      <c r="G872" s="140"/>
      <c r="H872" s="140"/>
      <c r="I872" s="140"/>
      <c r="J872" s="140"/>
      <c r="K872" s="140"/>
    </row>
    <row r="873" spans="1:11">
      <c r="A873" s="138"/>
      <c r="B873" s="138"/>
      <c r="C873" s="144"/>
      <c r="D873" s="143"/>
      <c r="E873" s="140"/>
      <c r="F873" s="140"/>
      <c r="G873" s="140"/>
      <c r="H873" s="140"/>
      <c r="I873" s="140"/>
      <c r="J873" s="140"/>
      <c r="K873" s="140"/>
    </row>
    <row r="874" spans="1:11">
      <c r="A874" s="138"/>
      <c r="B874" s="138"/>
      <c r="C874" s="144"/>
      <c r="D874" s="143"/>
      <c r="E874" s="140"/>
      <c r="F874" s="140"/>
      <c r="G874" s="140"/>
      <c r="H874" s="140"/>
      <c r="I874" s="140"/>
      <c r="J874" s="140"/>
      <c r="K874" s="140"/>
    </row>
    <row r="875" spans="1:11">
      <c r="A875" s="138"/>
      <c r="B875" s="138"/>
      <c r="C875" s="144"/>
      <c r="D875" s="143"/>
      <c r="E875" s="140"/>
      <c r="F875" s="140"/>
      <c r="G875" s="140"/>
      <c r="H875" s="140"/>
      <c r="I875" s="140"/>
      <c r="J875" s="140"/>
      <c r="K875" s="140"/>
    </row>
    <row r="876" spans="1:11">
      <c r="A876" s="138"/>
      <c r="B876" s="138"/>
      <c r="C876" s="144"/>
      <c r="D876" s="143"/>
      <c r="E876" s="140"/>
      <c r="F876" s="140"/>
      <c r="G876" s="140"/>
      <c r="H876" s="140"/>
      <c r="I876" s="140"/>
      <c r="J876" s="140"/>
      <c r="K876" s="140"/>
    </row>
    <row r="877" spans="1:11">
      <c r="A877" s="138"/>
      <c r="B877" s="138"/>
      <c r="C877" s="144"/>
      <c r="D877" s="143"/>
      <c r="E877" s="140"/>
      <c r="F877" s="140"/>
      <c r="G877" s="140"/>
      <c r="H877" s="140"/>
      <c r="I877" s="140"/>
      <c r="J877" s="140"/>
      <c r="K877" s="140"/>
    </row>
    <row r="878" spans="1:11">
      <c r="A878" s="138"/>
      <c r="B878" s="138"/>
      <c r="C878" s="144"/>
      <c r="D878" s="143"/>
      <c r="E878" s="140"/>
      <c r="F878" s="140"/>
      <c r="G878" s="140"/>
      <c r="H878" s="140"/>
      <c r="I878" s="140"/>
      <c r="J878" s="140"/>
      <c r="K878" s="140"/>
    </row>
    <row r="879" spans="1:11">
      <c r="A879" s="138"/>
      <c r="B879" s="138"/>
      <c r="C879" s="144"/>
      <c r="D879" s="143"/>
      <c r="E879" s="140"/>
      <c r="F879" s="140"/>
      <c r="G879" s="140"/>
      <c r="H879" s="140"/>
      <c r="I879" s="140"/>
      <c r="J879" s="140"/>
      <c r="K879" s="140"/>
    </row>
    <row r="880" spans="1:11">
      <c r="A880" s="138"/>
      <c r="B880" s="138"/>
      <c r="C880" s="144"/>
      <c r="D880" s="143"/>
      <c r="E880" s="140"/>
      <c r="F880" s="140"/>
      <c r="G880" s="140"/>
      <c r="H880" s="140"/>
      <c r="I880" s="140"/>
      <c r="J880" s="140"/>
      <c r="K880" s="140"/>
    </row>
    <row r="881" spans="1:11">
      <c r="A881" s="138"/>
      <c r="B881" s="138"/>
      <c r="C881" s="144"/>
      <c r="D881" s="143"/>
      <c r="E881" s="140"/>
      <c r="F881" s="140"/>
      <c r="G881" s="140"/>
      <c r="H881" s="140"/>
      <c r="I881" s="140"/>
      <c r="J881" s="140"/>
      <c r="K881" s="140"/>
    </row>
    <row r="882" spans="1:11">
      <c r="A882" s="138"/>
      <c r="B882" s="138"/>
      <c r="C882" s="144"/>
      <c r="D882" s="143"/>
      <c r="E882" s="140"/>
      <c r="F882" s="140"/>
      <c r="G882" s="140"/>
      <c r="H882" s="140"/>
      <c r="I882" s="140"/>
      <c r="J882" s="140"/>
      <c r="K882" s="140"/>
    </row>
    <row r="883" spans="1:11">
      <c r="A883" s="138"/>
      <c r="B883" s="138"/>
      <c r="C883" s="144"/>
      <c r="D883" s="143"/>
      <c r="E883" s="140"/>
      <c r="F883" s="140"/>
      <c r="G883" s="140"/>
      <c r="H883" s="140"/>
      <c r="I883" s="140"/>
      <c r="J883" s="140"/>
      <c r="K883" s="140"/>
    </row>
    <row r="884" spans="1:11">
      <c r="A884" s="138"/>
      <c r="B884" s="138"/>
      <c r="C884" s="144"/>
      <c r="D884" s="143"/>
      <c r="E884" s="140"/>
      <c r="F884" s="140"/>
      <c r="G884" s="140"/>
      <c r="H884" s="140"/>
      <c r="I884" s="140"/>
      <c r="J884" s="140"/>
      <c r="K884" s="140"/>
    </row>
    <row r="885" spans="1:11">
      <c r="A885" s="138"/>
      <c r="B885" s="138"/>
      <c r="C885" s="144"/>
      <c r="D885" s="143"/>
      <c r="E885" s="140"/>
      <c r="F885" s="140"/>
      <c r="G885" s="140"/>
      <c r="H885" s="140"/>
      <c r="I885" s="140"/>
      <c r="J885" s="140"/>
      <c r="K885" s="140"/>
    </row>
    <row r="886" spans="1:11">
      <c r="A886" s="138"/>
      <c r="B886" s="138"/>
      <c r="C886" s="144"/>
      <c r="D886" s="143"/>
      <c r="E886" s="140"/>
      <c r="F886" s="140"/>
      <c r="G886" s="140"/>
      <c r="H886" s="140"/>
      <c r="I886" s="140"/>
      <c r="J886" s="140"/>
      <c r="K886" s="140"/>
    </row>
    <row r="887" spans="1:11">
      <c r="A887" s="138"/>
      <c r="B887" s="138"/>
      <c r="C887" s="144"/>
      <c r="D887" s="143"/>
      <c r="E887" s="140"/>
      <c r="F887" s="140"/>
      <c r="G887" s="140"/>
      <c r="H887" s="140"/>
      <c r="I887" s="140"/>
      <c r="J887" s="140"/>
      <c r="K887" s="140"/>
    </row>
    <row r="888" spans="1:11">
      <c r="A888" s="138"/>
      <c r="B888" s="138"/>
      <c r="C888" s="144"/>
      <c r="D888" s="143"/>
      <c r="E888" s="140"/>
      <c r="F888" s="140"/>
      <c r="G888" s="140"/>
      <c r="H888" s="140"/>
      <c r="I888" s="140"/>
      <c r="J888" s="140"/>
      <c r="K888" s="140"/>
    </row>
    <row r="889" spans="1:11">
      <c r="A889" s="138"/>
      <c r="B889" s="138"/>
      <c r="C889" s="144"/>
      <c r="D889" s="143"/>
      <c r="E889" s="140"/>
      <c r="F889" s="140"/>
      <c r="G889" s="140"/>
      <c r="H889" s="140"/>
      <c r="I889" s="140"/>
      <c r="J889" s="140"/>
      <c r="K889" s="140"/>
    </row>
    <row r="890" spans="1:11">
      <c r="A890" s="138"/>
      <c r="B890" s="138"/>
      <c r="C890" s="144"/>
      <c r="D890" s="143"/>
      <c r="E890" s="140"/>
      <c r="F890" s="140"/>
      <c r="G890" s="140"/>
      <c r="H890" s="140"/>
      <c r="I890" s="140"/>
      <c r="J890" s="140"/>
      <c r="K890" s="140"/>
    </row>
    <row r="891" spans="1:11">
      <c r="A891" s="138"/>
      <c r="B891" s="138"/>
      <c r="C891" s="144"/>
      <c r="D891" s="143"/>
      <c r="E891" s="140"/>
      <c r="F891" s="140"/>
      <c r="G891" s="140"/>
      <c r="H891" s="140"/>
      <c r="I891" s="140"/>
      <c r="J891" s="140"/>
      <c r="K891" s="140"/>
    </row>
    <row r="892" spans="1:11">
      <c r="A892" s="138"/>
      <c r="B892" s="138"/>
      <c r="C892" s="144"/>
      <c r="D892" s="143"/>
      <c r="E892" s="140"/>
      <c r="F892" s="140"/>
      <c r="G892" s="140"/>
      <c r="H892" s="140"/>
      <c r="I892" s="140"/>
      <c r="J892" s="140"/>
      <c r="K892" s="140"/>
    </row>
    <row r="893" spans="1:11">
      <c r="A893" s="138"/>
      <c r="B893" s="138"/>
      <c r="C893" s="144"/>
      <c r="D893" s="143"/>
      <c r="E893" s="140"/>
      <c r="F893" s="140"/>
      <c r="G893" s="140"/>
      <c r="H893" s="140"/>
      <c r="I893" s="140"/>
      <c r="J893" s="140"/>
      <c r="K893" s="140"/>
    </row>
    <row r="894" spans="1:11">
      <c r="A894" s="138"/>
      <c r="B894" s="138"/>
      <c r="C894" s="144"/>
      <c r="D894" s="143"/>
      <c r="E894" s="140"/>
      <c r="F894" s="140"/>
      <c r="G894" s="140"/>
      <c r="H894" s="140"/>
      <c r="I894" s="140"/>
      <c r="J894" s="140"/>
      <c r="K894" s="140"/>
    </row>
    <row r="895" spans="1:11">
      <c r="A895" s="138"/>
      <c r="B895" s="138"/>
      <c r="C895" s="144"/>
      <c r="D895" s="143"/>
      <c r="E895" s="140"/>
      <c r="F895" s="140"/>
      <c r="G895" s="140"/>
      <c r="H895" s="140"/>
      <c r="I895" s="140"/>
      <c r="J895" s="140"/>
      <c r="K895" s="140"/>
    </row>
    <row r="896" spans="1:11">
      <c r="A896" s="138"/>
      <c r="B896" s="138"/>
      <c r="C896" s="144"/>
      <c r="D896" s="143"/>
      <c r="E896" s="140"/>
      <c r="F896" s="140"/>
      <c r="G896" s="140"/>
      <c r="H896" s="140"/>
      <c r="I896" s="140"/>
      <c r="J896" s="140"/>
      <c r="K896" s="140"/>
    </row>
    <row r="897" spans="1:11">
      <c r="A897" s="138"/>
      <c r="B897" s="138"/>
      <c r="C897" s="144"/>
      <c r="D897" s="143"/>
      <c r="E897" s="140"/>
      <c r="F897" s="140"/>
      <c r="G897" s="140"/>
      <c r="H897" s="140"/>
      <c r="I897" s="140"/>
      <c r="J897" s="140"/>
      <c r="K897" s="140"/>
    </row>
    <row r="898" spans="1:11">
      <c r="A898" s="138"/>
      <c r="B898" s="138"/>
      <c r="C898" s="144"/>
      <c r="D898" s="143"/>
      <c r="E898" s="140"/>
      <c r="F898" s="140"/>
      <c r="G898" s="140"/>
      <c r="H898" s="140"/>
      <c r="I898" s="140"/>
      <c r="J898" s="140"/>
      <c r="K898" s="140"/>
    </row>
    <row r="899" spans="1:11">
      <c r="A899" s="138"/>
      <c r="B899" s="138"/>
      <c r="C899" s="144"/>
      <c r="D899" s="143"/>
      <c r="E899" s="140"/>
      <c r="F899" s="140"/>
      <c r="G899" s="140"/>
      <c r="H899" s="140"/>
      <c r="I899" s="140"/>
      <c r="J899" s="140"/>
      <c r="K899" s="140"/>
    </row>
    <row r="900" spans="1:11">
      <c r="A900" s="138"/>
      <c r="B900" s="138"/>
      <c r="C900" s="144"/>
      <c r="D900" s="143"/>
      <c r="E900" s="140"/>
      <c r="F900" s="140"/>
      <c r="G900" s="140"/>
      <c r="H900" s="140"/>
      <c r="I900" s="140"/>
      <c r="J900" s="140"/>
      <c r="K900" s="140"/>
    </row>
    <row r="901" spans="1:11">
      <c r="A901" s="138"/>
      <c r="B901" s="138"/>
      <c r="C901" s="144"/>
      <c r="D901" s="143"/>
      <c r="E901" s="140"/>
      <c r="F901" s="140"/>
      <c r="G901" s="140"/>
      <c r="H901" s="140"/>
      <c r="I901" s="140"/>
      <c r="J901" s="140"/>
      <c r="K901" s="140"/>
    </row>
    <row r="902" spans="1:11">
      <c r="A902" s="138"/>
      <c r="B902" s="138"/>
      <c r="C902" s="144"/>
      <c r="D902" s="143"/>
      <c r="E902" s="140"/>
      <c r="F902" s="140"/>
      <c r="G902" s="140"/>
      <c r="H902" s="140"/>
      <c r="I902" s="140"/>
      <c r="J902" s="140"/>
      <c r="K902" s="140"/>
    </row>
    <row r="903" spans="1:11">
      <c r="A903" s="138"/>
      <c r="B903" s="138"/>
      <c r="C903" s="144"/>
      <c r="D903" s="143"/>
      <c r="E903" s="140"/>
      <c r="F903" s="140"/>
      <c r="G903" s="140"/>
      <c r="H903" s="140"/>
      <c r="I903" s="140"/>
      <c r="J903" s="140"/>
      <c r="K903" s="140"/>
    </row>
    <row r="904" spans="1:11">
      <c r="A904" s="138"/>
      <c r="B904" s="138"/>
      <c r="C904" s="144"/>
      <c r="D904" s="143"/>
      <c r="E904" s="140"/>
      <c r="F904" s="140"/>
      <c r="G904" s="140"/>
      <c r="H904" s="140"/>
      <c r="I904" s="140"/>
      <c r="J904" s="140"/>
      <c r="K904" s="140"/>
    </row>
    <row r="905" spans="1:11">
      <c r="A905" s="138"/>
      <c r="B905" s="138"/>
      <c r="C905" s="144"/>
      <c r="D905" s="143"/>
      <c r="E905" s="140"/>
      <c r="F905" s="140"/>
      <c r="G905" s="140"/>
      <c r="H905" s="140"/>
      <c r="I905" s="140"/>
      <c r="J905" s="140"/>
      <c r="K905" s="140"/>
    </row>
    <row r="906" spans="1:11">
      <c r="A906" s="138"/>
      <c r="B906" s="138"/>
      <c r="C906" s="144"/>
      <c r="D906" s="143"/>
      <c r="E906" s="140"/>
      <c r="F906" s="140"/>
      <c r="G906" s="140"/>
      <c r="H906" s="140"/>
      <c r="I906" s="140"/>
      <c r="J906" s="140"/>
      <c r="K906" s="140"/>
    </row>
    <row r="907" spans="1:11">
      <c r="A907" s="138"/>
      <c r="B907" s="138"/>
      <c r="C907" s="144"/>
      <c r="D907" s="143"/>
      <c r="E907" s="140"/>
      <c r="F907" s="140"/>
      <c r="G907" s="140"/>
      <c r="H907" s="140"/>
      <c r="I907" s="140"/>
      <c r="J907" s="140"/>
      <c r="K907" s="140"/>
    </row>
    <row r="908" spans="1:11">
      <c r="A908" s="138"/>
      <c r="B908" s="138"/>
      <c r="C908" s="144"/>
      <c r="D908" s="143"/>
      <c r="E908" s="140"/>
      <c r="F908" s="140"/>
      <c r="G908" s="140"/>
      <c r="H908" s="140"/>
      <c r="I908" s="140"/>
      <c r="J908" s="140"/>
      <c r="K908" s="140"/>
    </row>
    <row r="909" spans="1:11">
      <c r="A909" s="138"/>
      <c r="B909" s="138"/>
      <c r="C909" s="144"/>
      <c r="D909" s="143"/>
      <c r="E909" s="140"/>
      <c r="F909" s="140"/>
      <c r="G909" s="140"/>
      <c r="H909" s="140"/>
      <c r="I909" s="140"/>
      <c r="J909" s="140"/>
      <c r="K909" s="140"/>
    </row>
    <row r="910" spans="1:11">
      <c r="A910" s="138"/>
      <c r="B910" s="138"/>
      <c r="C910" s="144"/>
      <c r="D910" s="143"/>
      <c r="E910" s="140"/>
      <c r="F910" s="140"/>
      <c r="G910" s="140"/>
      <c r="H910" s="140"/>
      <c r="I910" s="140"/>
      <c r="J910" s="140"/>
      <c r="K910" s="140"/>
    </row>
    <row r="911" spans="1:11">
      <c r="A911" s="138"/>
      <c r="B911" s="138"/>
      <c r="C911" s="144"/>
      <c r="D911" s="143"/>
      <c r="E911" s="140"/>
      <c r="F911" s="140"/>
      <c r="G911" s="140"/>
      <c r="H911" s="140"/>
      <c r="I911" s="140"/>
      <c r="J911" s="140"/>
      <c r="K911" s="140"/>
    </row>
    <row r="912" spans="1:11">
      <c r="A912" s="138"/>
      <c r="B912" s="138"/>
      <c r="C912" s="144"/>
      <c r="D912" s="143"/>
      <c r="E912" s="140"/>
      <c r="F912" s="140"/>
      <c r="G912" s="140"/>
      <c r="H912" s="140"/>
      <c r="I912" s="140"/>
      <c r="J912" s="140"/>
      <c r="K912" s="140"/>
    </row>
    <row r="913" spans="1:11">
      <c r="A913" s="138"/>
      <c r="B913" s="138"/>
      <c r="C913" s="144"/>
      <c r="D913" s="143"/>
      <c r="E913" s="140"/>
      <c r="F913" s="140"/>
      <c r="G913" s="140"/>
      <c r="H913" s="140"/>
      <c r="I913" s="140"/>
      <c r="J913" s="140"/>
      <c r="K913" s="140"/>
    </row>
    <row r="914" spans="1:11">
      <c r="A914" s="138"/>
      <c r="B914" s="138"/>
      <c r="C914" s="144"/>
      <c r="D914" s="143"/>
      <c r="E914" s="140"/>
      <c r="F914" s="140"/>
      <c r="G914" s="140"/>
      <c r="H914" s="140"/>
      <c r="I914" s="140"/>
      <c r="J914" s="140"/>
      <c r="K914" s="140"/>
    </row>
    <row r="915" spans="1:11">
      <c r="A915" s="138"/>
      <c r="B915" s="138"/>
      <c r="C915" s="144"/>
      <c r="D915" s="143"/>
      <c r="E915" s="140"/>
      <c r="F915" s="140"/>
      <c r="G915" s="140"/>
      <c r="H915" s="140"/>
      <c r="I915" s="140"/>
      <c r="J915" s="140"/>
      <c r="K915" s="140"/>
    </row>
    <row r="916" spans="1:11">
      <c r="A916" s="138"/>
      <c r="B916" s="138"/>
      <c r="C916" s="144"/>
      <c r="D916" s="143"/>
      <c r="E916" s="140"/>
      <c r="F916" s="140"/>
      <c r="G916" s="140"/>
      <c r="H916" s="140"/>
      <c r="I916" s="140"/>
      <c r="J916" s="140"/>
      <c r="K916" s="140"/>
    </row>
    <row r="917" spans="1:11">
      <c r="A917" s="138"/>
      <c r="B917" s="138"/>
      <c r="C917" s="144"/>
      <c r="D917" s="143"/>
      <c r="E917" s="140"/>
      <c r="F917" s="140"/>
      <c r="G917" s="140"/>
      <c r="H917" s="140"/>
      <c r="I917" s="140"/>
      <c r="J917" s="140"/>
      <c r="K917" s="140"/>
    </row>
    <row r="918" spans="1:11">
      <c r="A918" s="138"/>
      <c r="B918" s="138"/>
      <c r="C918" s="144"/>
      <c r="D918" s="143"/>
      <c r="E918" s="140"/>
      <c r="F918" s="140"/>
      <c r="G918" s="140"/>
      <c r="H918" s="140"/>
      <c r="I918" s="140"/>
      <c r="J918" s="140"/>
      <c r="K918" s="140"/>
    </row>
    <row r="919" spans="1:11">
      <c r="A919" s="138"/>
      <c r="B919" s="138"/>
      <c r="C919" s="144"/>
      <c r="D919" s="143"/>
      <c r="E919" s="140"/>
      <c r="F919" s="140"/>
      <c r="G919" s="140"/>
      <c r="H919" s="140"/>
      <c r="I919" s="140"/>
      <c r="J919" s="140"/>
      <c r="K919" s="140"/>
    </row>
    <row r="920" spans="1:11">
      <c r="A920" s="138"/>
      <c r="B920" s="138"/>
      <c r="C920" s="144"/>
      <c r="D920" s="143"/>
      <c r="E920" s="140"/>
      <c r="F920" s="140"/>
      <c r="G920" s="140"/>
      <c r="H920" s="140"/>
      <c r="I920" s="140"/>
      <c r="J920" s="140"/>
      <c r="K920" s="140"/>
    </row>
    <row r="921" spans="1:11">
      <c r="A921" s="138"/>
      <c r="B921" s="138"/>
      <c r="C921" s="144"/>
      <c r="D921" s="143"/>
      <c r="E921" s="140"/>
      <c r="F921" s="140"/>
      <c r="G921" s="140"/>
      <c r="H921" s="140"/>
      <c r="I921" s="140"/>
      <c r="J921" s="140"/>
      <c r="K921" s="140"/>
    </row>
    <row r="922" spans="1:11">
      <c r="A922" s="138"/>
      <c r="B922" s="138"/>
      <c r="C922" s="144"/>
      <c r="D922" s="143"/>
      <c r="E922" s="140"/>
      <c r="F922" s="140"/>
      <c r="G922" s="140"/>
      <c r="H922" s="140"/>
      <c r="I922" s="140"/>
      <c r="J922" s="140"/>
      <c r="K922" s="140"/>
    </row>
    <row r="923" spans="1:11">
      <c r="A923" s="138"/>
      <c r="B923" s="138"/>
      <c r="C923" s="144"/>
      <c r="D923" s="143"/>
      <c r="E923" s="140"/>
      <c r="F923" s="140"/>
      <c r="G923" s="140"/>
      <c r="H923" s="140"/>
      <c r="I923" s="140"/>
      <c r="J923" s="140"/>
      <c r="K923" s="140"/>
    </row>
    <row r="924" spans="1:11">
      <c r="A924" s="138"/>
      <c r="B924" s="138"/>
      <c r="C924" s="144"/>
      <c r="D924" s="143"/>
      <c r="E924" s="140"/>
      <c r="F924" s="140"/>
      <c r="G924" s="140"/>
      <c r="H924" s="140"/>
      <c r="I924" s="140"/>
      <c r="J924" s="140"/>
      <c r="K924" s="140"/>
    </row>
    <row r="925" spans="1:11">
      <c r="A925" s="138"/>
      <c r="B925" s="138"/>
      <c r="C925" s="144"/>
      <c r="D925" s="143"/>
      <c r="E925" s="140"/>
      <c r="F925" s="140"/>
      <c r="G925" s="140"/>
      <c r="H925" s="140"/>
      <c r="I925" s="140"/>
      <c r="J925" s="140"/>
      <c r="K925" s="140"/>
    </row>
    <row r="926" spans="1:11">
      <c r="A926" s="138"/>
      <c r="B926" s="138"/>
      <c r="C926" s="144"/>
      <c r="D926" s="143"/>
      <c r="E926" s="140"/>
      <c r="F926" s="140"/>
      <c r="G926" s="140"/>
      <c r="H926" s="140"/>
      <c r="I926" s="140"/>
      <c r="J926" s="140"/>
      <c r="K926" s="140"/>
    </row>
    <row r="927" spans="1:11">
      <c r="A927" s="138"/>
      <c r="B927" s="138"/>
      <c r="C927" s="144"/>
      <c r="D927" s="143"/>
      <c r="E927" s="140"/>
      <c r="F927" s="140"/>
      <c r="G927" s="140"/>
      <c r="H927" s="140"/>
      <c r="I927" s="140"/>
      <c r="J927" s="140"/>
      <c r="K927" s="140"/>
    </row>
    <row r="928" spans="1:11">
      <c r="A928" s="138"/>
      <c r="B928" s="138"/>
      <c r="C928" s="144"/>
      <c r="D928" s="143"/>
      <c r="E928" s="140"/>
      <c r="F928" s="140"/>
      <c r="G928" s="140"/>
      <c r="H928" s="140"/>
      <c r="I928" s="140"/>
      <c r="J928" s="140"/>
      <c r="K928" s="140"/>
    </row>
    <row r="929" spans="1:11">
      <c r="A929" s="138"/>
      <c r="B929" s="138"/>
      <c r="C929" s="144"/>
      <c r="D929" s="143"/>
      <c r="E929" s="140"/>
      <c r="F929" s="140"/>
      <c r="G929" s="140"/>
      <c r="H929" s="140"/>
      <c r="I929" s="140"/>
      <c r="J929" s="140"/>
      <c r="K929" s="140"/>
    </row>
    <row r="930" spans="1:11">
      <c r="A930" s="138"/>
      <c r="B930" s="138"/>
      <c r="C930" s="144"/>
      <c r="D930" s="143"/>
      <c r="E930" s="140"/>
      <c r="F930" s="140"/>
      <c r="G930" s="140"/>
      <c r="H930" s="140"/>
      <c r="I930" s="140"/>
      <c r="J930" s="140"/>
      <c r="K930" s="140"/>
    </row>
    <row r="931" spans="1:11">
      <c r="A931" s="138"/>
      <c r="B931" s="138"/>
      <c r="C931" s="144"/>
      <c r="D931" s="143"/>
      <c r="E931" s="140"/>
      <c r="F931" s="140"/>
      <c r="G931" s="140"/>
      <c r="H931" s="140"/>
      <c r="I931" s="140"/>
      <c r="J931" s="140"/>
      <c r="K931" s="140"/>
    </row>
    <row r="932" spans="1:11">
      <c r="A932" s="138"/>
      <c r="B932" s="138"/>
      <c r="C932" s="144"/>
      <c r="D932" s="143"/>
      <c r="E932" s="140"/>
      <c r="F932" s="140"/>
      <c r="G932" s="140"/>
      <c r="H932" s="140"/>
      <c r="I932" s="140"/>
      <c r="J932" s="140"/>
      <c r="K932" s="140"/>
    </row>
    <row r="933" spans="1:11">
      <c r="A933" s="138"/>
      <c r="B933" s="138"/>
      <c r="C933" s="144"/>
      <c r="D933" s="143"/>
      <c r="E933" s="140"/>
      <c r="F933" s="140"/>
      <c r="G933" s="140"/>
      <c r="H933" s="140"/>
      <c r="I933" s="140"/>
      <c r="J933" s="140"/>
      <c r="K933" s="140"/>
    </row>
    <row r="934" spans="1:11">
      <c r="A934" s="138"/>
      <c r="B934" s="138"/>
      <c r="C934" s="144"/>
      <c r="D934" s="143"/>
      <c r="E934" s="140"/>
      <c r="F934" s="140"/>
      <c r="G934" s="140"/>
      <c r="H934" s="140"/>
      <c r="I934" s="140"/>
      <c r="J934" s="140"/>
      <c r="K934" s="140"/>
    </row>
    <row r="935" spans="1:11">
      <c r="A935" s="138"/>
      <c r="B935" s="138"/>
      <c r="C935" s="144"/>
      <c r="D935" s="143"/>
      <c r="E935" s="140"/>
      <c r="F935" s="140"/>
      <c r="G935" s="140"/>
      <c r="H935" s="140"/>
      <c r="I935" s="140"/>
      <c r="J935" s="140"/>
      <c r="K935" s="140"/>
    </row>
    <row r="936" spans="1:11">
      <c r="A936" s="138"/>
      <c r="B936" s="138"/>
      <c r="C936" s="144"/>
      <c r="D936" s="143"/>
      <c r="E936" s="140"/>
      <c r="F936" s="140"/>
      <c r="G936" s="140"/>
      <c r="H936" s="140"/>
      <c r="I936" s="140"/>
      <c r="J936" s="140"/>
      <c r="K936" s="140"/>
    </row>
    <row r="937" spans="1:11">
      <c r="A937" s="138"/>
      <c r="B937" s="138"/>
      <c r="C937" s="144"/>
      <c r="D937" s="143"/>
      <c r="E937" s="140"/>
      <c r="F937" s="140"/>
      <c r="G937" s="140"/>
      <c r="H937" s="140"/>
      <c r="I937" s="140"/>
      <c r="J937" s="140"/>
      <c r="K937" s="140"/>
    </row>
    <row r="938" spans="1:11">
      <c r="A938" s="138"/>
      <c r="B938" s="138"/>
      <c r="C938" s="144"/>
      <c r="D938" s="143"/>
      <c r="E938" s="140"/>
      <c r="F938" s="140"/>
      <c r="G938" s="140"/>
      <c r="H938" s="140"/>
      <c r="I938" s="140"/>
      <c r="J938" s="140"/>
      <c r="K938" s="140"/>
    </row>
    <row r="939" spans="1:11">
      <c r="A939" s="138"/>
      <c r="B939" s="138"/>
      <c r="C939" s="144"/>
      <c r="D939" s="143"/>
      <c r="E939" s="140"/>
      <c r="F939" s="140"/>
      <c r="G939" s="140"/>
      <c r="H939" s="140"/>
      <c r="I939" s="140"/>
      <c r="J939" s="140"/>
      <c r="K939" s="140"/>
    </row>
    <row r="940" spans="1:11">
      <c r="A940" s="138"/>
      <c r="B940" s="138"/>
      <c r="C940" s="144"/>
      <c r="D940" s="143"/>
      <c r="E940" s="140"/>
      <c r="F940" s="140"/>
      <c r="G940" s="140"/>
      <c r="H940" s="140"/>
      <c r="I940" s="140"/>
      <c r="J940" s="140"/>
      <c r="K940" s="140"/>
    </row>
    <row r="941" spans="1:11">
      <c r="A941" s="138"/>
      <c r="B941" s="138"/>
      <c r="C941" s="144"/>
      <c r="D941" s="143"/>
      <c r="E941" s="140"/>
      <c r="F941" s="140"/>
      <c r="G941" s="140"/>
      <c r="H941" s="140"/>
      <c r="I941" s="140"/>
      <c r="J941" s="140"/>
      <c r="K941" s="140"/>
    </row>
    <row r="942" spans="1:11">
      <c r="A942" s="138"/>
      <c r="B942" s="138"/>
      <c r="C942" s="144"/>
      <c r="D942" s="143"/>
      <c r="E942" s="140"/>
      <c r="F942" s="140"/>
      <c r="G942" s="140"/>
      <c r="H942" s="140"/>
      <c r="I942" s="140"/>
      <c r="J942" s="140"/>
      <c r="K942" s="140"/>
    </row>
    <row r="943" spans="1:11">
      <c r="A943" s="138"/>
      <c r="B943" s="138"/>
      <c r="C943" s="144"/>
      <c r="D943" s="143"/>
      <c r="E943" s="140"/>
      <c r="F943" s="140"/>
      <c r="G943" s="140"/>
      <c r="H943" s="140"/>
      <c r="I943" s="140"/>
      <c r="J943" s="140"/>
      <c r="K943" s="140"/>
    </row>
    <row r="944" spans="1:11">
      <c r="A944" s="138"/>
      <c r="B944" s="138"/>
      <c r="C944" s="144"/>
      <c r="D944" s="143"/>
      <c r="E944" s="140"/>
      <c r="F944" s="140"/>
      <c r="G944" s="140"/>
      <c r="H944" s="140"/>
      <c r="I944" s="140"/>
      <c r="J944" s="140"/>
      <c r="K944" s="140"/>
    </row>
    <row r="945" spans="1:11">
      <c r="A945" s="138"/>
      <c r="B945" s="138"/>
      <c r="C945" s="144"/>
      <c r="D945" s="143"/>
      <c r="E945" s="140"/>
      <c r="F945" s="140"/>
      <c r="G945" s="140"/>
      <c r="H945" s="140"/>
      <c r="I945" s="140"/>
      <c r="J945" s="140"/>
      <c r="K945" s="140"/>
    </row>
    <row r="946" spans="1:11">
      <c r="A946" s="138"/>
      <c r="B946" s="138"/>
      <c r="C946" s="144"/>
      <c r="D946" s="143"/>
      <c r="E946" s="140"/>
      <c r="F946" s="140"/>
      <c r="G946" s="140"/>
      <c r="H946" s="140"/>
      <c r="I946" s="140"/>
      <c r="J946" s="140"/>
      <c r="K946" s="140"/>
    </row>
    <row r="947" spans="1:11">
      <c r="A947" s="138"/>
      <c r="B947" s="138"/>
      <c r="C947" s="144"/>
      <c r="D947" s="143"/>
      <c r="E947" s="140"/>
      <c r="F947" s="140"/>
      <c r="G947" s="140"/>
      <c r="H947" s="140"/>
      <c r="I947" s="140"/>
      <c r="J947" s="140"/>
      <c r="K947" s="140"/>
    </row>
    <row r="948" spans="1:11">
      <c r="A948" s="138"/>
      <c r="B948" s="138"/>
      <c r="C948" s="144"/>
      <c r="D948" s="143"/>
      <c r="E948" s="140"/>
      <c r="F948" s="140"/>
      <c r="G948" s="140"/>
      <c r="H948" s="140"/>
      <c r="I948" s="140"/>
      <c r="J948" s="140"/>
      <c r="K948" s="140"/>
    </row>
    <row r="949" spans="1:11">
      <c r="A949" s="138"/>
      <c r="B949" s="138"/>
      <c r="C949" s="144"/>
      <c r="D949" s="143"/>
      <c r="E949" s="140"/>
      <c r="F949" s="140"/>
      <c r="G949" s="140"/>
      <c r="H949" s="140"/>
      <c r="I949" s="140"/>
      <c r="J949" s="140"/>
      <c r="K949" s="140"/>
    </row>
    <row r="950" spans="1:11">
      <c r="A950" s="138"/>
      <c r="B950" s="138"/>
      <c r="C950" s="144"/>
      <c r="D950" s="143"/>
      <c r="E950" s="140"/>
      <c r="F950" s="140"/>
      <c r="G950" s="140"/>
      <c r="H950" s="140"/>
      <c r="I950" s="140"/>
      <c r="J950" s="140"/>
      <c r="K950" s="140"/>
    </row>
    <row r="951" spans="1:11">
      <c r="A951" s="138"/>
      <c r="B951" s="138"/>
      <c r="C951" s="144"/>
      <c r="D951" s="143"/>
      <c r="E951" s="140"/>
      <c r="F951" s="140"/>
      <c r="G951" s="140"/>
      <c r="H951" s="140"/>
      <c r="I951" s="140"/>
      <c r="J951" s="140"/>
      <c r="K951" s="140"/>
    </row>
    <row r="952" spans="1:11">
      <c r="A952" s="138"/>
      <c r="B952" s="138"/>
      <c r="C952" s="144"/>
      <c r="D952" s="143"/>
      <c r="E952" s="140"/>
      <c r="F952" s="140"/>
      <c r="G952" s="140"/>
      <c r="H952" s="140"/>
      <c r="I952" s="140"/>
      <c r="J952" s="140"/>
      <c r="K952" s="140"/>
    </row>
    <row r="953" spans="1:11">
      <c r="A953" s="138"/>
      <c r="B953" s="138"/>
      <c r="C953" s="144"/>
      <c r="D953" s="143"/>
      <c r="E953" s="140"/>
      <c r="F953" s="140"/>
      <c r="G953" s="140"/>
      <c r="H953" s="140"/>
      <c r="I953" s="140"/>
      <c r="J953" s="140"/>
      <c r="K953" s="140"/>
    </row>
    <row r="954" spans="1:11">
      <c r="A954" s="138"/>
      <c r="B954" s="138"/>
      <c r="C954" s="144"/>
      <c r="D954" s="143"/>
      <c r="E954" s="140"/>
      <c r="F954" s="140"/>
      <c r="G954" s="140"/>
      <c r="H954" s="140"/>
      <c r="I954" s="140"/>
      <c r="J954" s="140"/>
      <c r="K954" s="140"/>
    </row>
    <row r="955" spans="1:11">
      <c r="A955" s="138"/>
      <c r="B955" s="138"/>
      <c r="C955" s="144"/>
      <c r="D955" s="143"/>
      <c r="E955" s="140"/>
      <c r="F955" s="140"/>
      <c r="G955" s="140"/>
      <c r="H955" s="140"/>
      <c r="I955" s="140"/>
      <c r="J955" s="140"/>
      <c r="K955" s="140"/>
    </row>
    <row r="956" spans="1:11">
      <c r="A956" s="138"/>
      <c r="B956" s="138"/>
      <c r="C956" s="144"/>
      <c r="D956" s="143"/>
      <c r="E956" s="140"/>
      <c r="F956" s="140"/>
      <c r="G956" s="140"/>
      <c r="H956" s="140"/>
      <c r="I956" s="140"/>
      <c r="J956" s="140"/>
      <c r="K956" s="140"/>
    </row>
    <row r="957" spans="1:11">
      <c r="A957" s="138"/>
      <c r="B957" s="138"/>
      <c r="C957" s="144"/>
      <c r="D957" s="143"/>
      <c r="E957" s="140"/>
      <c r="F957" s="140"/>
      <c r="G957" s="140"/>
      <c r="H957" s="140"/>
      <c r="I957" s="140"/>
      <c r="J957" s="140"/>
      <c r="K957" s="140"/>
    </row>
    <row r="958" spans="1:11">
      <c r="A958" s="138"/>
      <c r="B958" s="138"/>
      <c r="C958" s="144"/>
      <c r="D958" s="143"/>
      <c r="E958" s="140"/>
      <c r="F958" s="140"/>
      <c r="G958" s="140"/>
      <c r="H958" s="140"/>
      <c r="I958" s="140"/>
      <c r="J958" s="140"/>
      <c r="K958" s="140"/>
    </row>
    <row r="959" spans="1:11">
      <c r="A959" s="138"/>
      <c r="B959" s="138"/>
      <c r="C959" s="144"/>
      <c r="D959" s="143"/>
      <c r="E959" s="140"/>
      <c r="F959" s="140"/>
      <c r="G959" s="140"/>
      <c r="H959" s="140"/>
      <c r="I959" s="140"/>
      <c r="J959" s="140"/>
      <c r="K959" s="140"/>
    </row>
    <row r="960" spans="1:11">
      <c r="A960" s="138"/>
      <c r="B960" s="138"/>
      <c r="C960" s="144"/>
      <c r="D960" s="143"/>
      <c r="E960" s="140"/>
      <c r="F960" s="140"/>
      <c r="G960" s="140"/>
      <c r="H960" s="140"/>
      <c r="I960" s="140"/>
      <c r="J960" s="140"/>
      <c r="K960" s="140"/>
    </row>
    <row r="961" spans="1:11">
      <c r="A961" s="138"/>
      <c r="B961" s="138"/>
      <c r="C961" s="144"/>
      <c r="D961" s="143"/>
      <c r="E961" s="140"/>
      <c r="F961" s="140"/>
      <c r="G961" s="140"/>
      <c r="H961" s="140"/>
      <c r="I961" s="140"/>
      <c r="J961" s="140"/>
      <c r="K961" s="140"/>
    </row>
    <row r="962" spans="1:11">
      <c r="A962" s="138"/>
      <c r="B962" s="138"/>
      <c r="C962" s="144"/>
      <c r="D962" s="143"/>
      <c r="E962" s="140"/>
      <c r="F962" s="140"/>
      <c r="G962" s="140"/>
      <c r="H962" s="140"/>
      <c r="I962" s="140"/>
      <c r="J962" s="140"/>
      <c r="K962" s="140"/>
    </row>
    <row r="963" spans="1:11">
      <c r="A963" s="138"/>
      <c r="B963" s="138"/>
      <c r="C963" s="144"/>
      <c r="D963" s="143"/>
      <c r="E963" s="140"/>
      <c r="F963" s="140"/>
      <c r="G963" s="140"/>
      <c r="H963" s="140"/>
      <c r="I963" s="140"/>
      <c r="J963" s="140"/>
      <c r="K963" s="140"/>
    </row>
    <row r="964" spans="1:11">
      <c r="A964" s="138"/>
      <c r="B964" s="138"/>
      <c r="C964" s="144"/>
      <c r="D964" s="143"/>
      <c r="E964" s="140"/>
      <c r="F964" s="140"/>
      <c r="G964" s="140"/>
      <c r="H964" s="140"/>
      <c r="I964" s="140"/>
      <c r="J964" s="140"/>
      <c r="K964" s="140"/>
    </row>
    <row r="965" spans="1:11">
      <c r="A965" s="138"/>
      <c r="B965" s="138"/>
      <c r="C965" s="144"/>
      <c r="D965" s="143"/>
      <c r="E965" s="140"/>
      <c r="F965" s="140"/>
      <c r="G965" s="140"/>
      <c r="H965" s="140"/>
      <c r="I965" s="140"/>
      <c r="J965" s="140"/>
      <c r="K965" s="140"/>
    </row>
    <row r="966" spans="1:11">
      <c r="A966" s="138"/>
      <c r="B966" s="138"/>
      <c r="C966" s="144"/>
      <c r="D966" s="143"/>
      <c r="E966" s="140"/>
      <c r="F966" s="140"/>
      <c r="G966" s="140"/>
      <c r="H966" s="140"/>
      <c r="I966" s="140"/>
      <c r="J966" s="140"/>
      <c r="K966" s="140"/>
    </row>
    <row r="967" spans="1:11">
      <c r="A967" s="138"/>
      <c r="B967" s="138"/>
      <c r="C967" s="144"/>
      <c r="D967" s="143"/>
      <c r="E967" s="140"/>
      <c r="F967" s="140"/>
      <c r="G967" s="140"/>
      <c r="H967" s="140"/>
      <c r="I967" s="140"/>
      <c r="J967" s="140"/>
      <c r="K967" s="140"/>
    </row>
    <row r="968" spans="1:11">
      <c r="A968" s="138"/>
      <c r="B968" s="138"/>
      <c r="C968" s="144"/>
      <c r="D968" s="143"/>
      <c r="E968" s="140"/>
      <c r="F968" s="140"/>
      <c r="G968" s="140"/>
      <c r="H968" s="140"/>
      <c r="I968" s="140"/>
      <c r="J968" s="140"/>
      <c r="K968" s="140"/>
    </row>
    <row r="969" spans="1:11">
      <c r="A969" s="138"/>
      <c r="B969" s="138"/>
      <c r="C969" s="144"/>
      <c r="D969" s="143"/>
      <c r="E969" s="140"/>
      <c r="F969" s="140"/>
      <c r="G969" s="140"/>
      <c r="H969" s="140"/>
      <c r="I969" s="140"/>
      <c r="J969" s="140"/>
      <c r="K969" s="140"/>
    </row>
    <row r="970" spans="1:11">
      <c r="A970" s="138"/>
      <c r="B970" s="138"/>
      <c r="C970" s="144"/>
      <c r="D970" s="143"/>
      <c r="E970" s="140"/>
      <c r="F970" s="140"/>
      <c r="G970" s="140"/>
      <c r="H970" s="140"/>
      <c r="I970" s="140"/>
      <c r="J970" s="140"/>
      <c r="K970" s="140"/>
    </row>
    <row r="971" spans="1:11">
      <c r="A971" s="138"/>
      <c r="B971" s="138"/>
      <c r="C971" s="144"/>
      <c r="D971" s="143"/>
      <c r="E971" s="140"/>
      <c r="F971" s="140"/>
      <c r="G971" s="140"/>
      <c r="H971" s="140"/>
      <c r="I971" s="140"/>
      <c r="J971" s="140"/>
      <c r="K971" s="140"/>
    </row>
    <row r="972" spans="1:11">
      <c r="A972" s="138"/>
      <c r="B972" s="138"/>
      <c r="C972" s="144"/>
      <c r="D972" s="143"/>
      <c r="E972" s="140"/>
      <c r="F972" s="140"/>
      <c r="G972" s="140"/>
      <c r="H972" s="140"/>
      <c r="I972" s="140"/>
      <c r="J972" s="140"/>
      <c r="K972" s="140"/>
    </row>
    <row r="973" spans="1:11">
      <c r="A973" s="138"/>
      <c r="B973" s="138"/>
      <c r="C973" s="144"/>
      <c r="D973" s="143"/>
      <c r="E973" s="140"/>
      <c r="F973" s="140"/>
      <c r="G973" s="140"/>
      <c r="H973" s="140"/>
      <c r="I973" s="140"/>
      <c r="J973" s="140"/>
      <c r="K973" s="140"/>
    </row>
    <row r="974" spans="1:11">
      <c r="A974" s="138"/>
      <c r="B974" s="138"/>
      <c r="C974" s="144"/>
      <c r="D974" s="143"/>
      <c r="E974" s="140"/>
      <c r="F974" s="140"/>
      <c r="G974" s="140"/>
      <c r="H974" s="140"/>
      <c r="I974" s="140"/>
      <c r="J974" s="140"/>
      <c r="K974" s="140"/>
    </row>
    <row r="975" spans="1:11">
      <c r="A975" s="138"/>
      <c r="B975" s="138"/>
      <c r="C975" s="144"/>
      <c r="D975" s="143"/>
      <c r="E975" s="140"/>
      <c r="F975" s="140"/>
      <c r="G975" s="140"/>
      <c r="H975" s="140"/>
      <c r="I975" s="140"/>
      <c r="J975" s="140"/>
      <c r="K975" s="140"/>
    </row>
    <row r="976" spans="1:11">
      <c r="A976" s="138"/>
      <c r="B976" s="138"/>
      <c r="C976" s="144"/>
      <c r="D976" s="143"/>
      <c r="E976" s="140"/>
      <c r="F976" s="140"/>
      <c r="G976" s="140"/>
      <c r="H976" s="140"/>
      <c r="I976" s="140"/>
      <c r="J976" s="140"/>
      <c r="K976" s="140"/>
    </row>
    <row r="977" spans="1:11">
      <c r="A977" s="138"/>
      <c r="B977" s="138"/>
      <c r="C977" s="144"/>
      <c r="D977" s="143"/>
      <c r="E977" s="140"/>
      <c r="F977" s="140"/>
      <c r="G977" s="140"/>
      <c r="H977" s="140"/>
      <c r="I977" s="140"/>
      <c r="J977" s="140"/>
      <c r="K977" s="140"/>
    </row>
    <row r="978" spans="1:11">
      <c r="A978" s="138"/>
      <c r="B978" s="138"/>
      <c r="C978" s="144"/>
      <c r="D978" s="143"/>
      <c r="E978" s="140"/>
      <c r="F978" s="140"/>
      <c r="G978" s="140"/>
      <c r="H978" s="140"/>
      <c r="I978" s="140"/>
      <c r="J978" s="140"/>
      <c r="K978" s="140"/>
    </row>
    <row r="979" spans="1:11">
      <c r="A979" s="138"/>
      <c r="B979" s="138"/>
      <c r="C979" s="144"/>
      <c r="D979" s="143"/>
      <c r="E979" s="140"/>
      <c r="F979" s="140"/>
      <c r="G979" s="140"/>
      <c r="H979" s="140"/>
      <c r="I979" s="140"/>
      <c r="J979" s="140"/>
      <c r="K979" s="140"/>
    </row>
    <row r="980" spans="1:11">
      <c r="A980" s="138"/>
      <c r="B980" s="138"/>
      <c r="C980" s="144"/>
      <c r="D980" s="143"/>
      <c r="E980" s="140"/>
      <c r="F980" s="140"/>
      <c r="G980" s="140"/>
      <c r="H980" s="140"/>
      <c r="I980" s="140"/>
      <c r="J980" s="140"/>
      <c r="K980" s="140"/>
    </row>
    <row r="981" spans="1:11">
      <c r="A981" s="138"/>
      <c r="B981" s="138"/>
      <c r="C981" s="144"/>
      <c r="D981" s="143"/>
      <c r="E981" s="140"/>
      <c r="F981" s="140"/>
      <c r="G981" s="140"/>
      <c r="H981" s="140"/>
      <c r="I981" s="140"/>
      <c r="J981" s="140"/>
      <c r="K981" s="140"/>
    </row>
    <row r="982" spans="1:11">
      <c r="A982" s="138"/>
      <c r="B982" s="138"/>
      <c r="C982" s="144"/>
      <c r="D982" s="143"/>
      <c r="E982" s="140"/>
      <c r="F982" s="140"/>
      <c r="G982" s="140"/>
      <c r="H982" s="140"/>
      <c r="I982" s="140"/>
      <c r="J982" s="140"/>
      <c r="K982" s="140"/>
    </row>
    <row r="983" spans="1:11">
      <c r="A983" s="138"/>
      <c r="B983" s="138"/>
      <c r="C983" s="144"/>
      <c r="D983" s="143"/>
      <c r="E983" s="140"/>
      <c r="F983" s="140"/>
      <c r="G983" s="140"/>
      <c r="H983" s="140"/>
      <c r="I983" s="140"/>
      <c r="J983" s="140"/>
      <c r="K983" s="140"/>
    </row>
    <row r="984" spans="1:11">
      <c r="A984" s="138"/>
      <c r="B984" s="138"/>
      <c r="C984" s="144"/>
      <c r="D984" s="143"/>
      <c r="E984" s="140"/>
      <c r="F984" s="140"/>
      <c r="G984" s="140"/>
      <c r="H984" s="140"/>
      <c r="I984" s="140"/>
      <c r="J984" s="140"/>
      <c r="K984" s="140"/>
    </row>
    <row r="985" spans="1:11">
      <c r="A985" s="138"/>
      <c r="B985" s="138"/>
      <c r="C985" s="144"/>
      <c r="D985" s="143"/>
      <c r="E985" s="140"/>
      <c r="F985" s="140"/>
      <c r="G985" s="140"/>
      <c r="H985" s="140"/>
      <c r="I985" s="140"/>
      <c r="J985" s="140"/>
      <c r="K985" s="140"/>
    </row>
    <row r="986" spans="1:11">
      <c r="A986" s="138"/>
      <c r="B986" s="138"/>
      <c r="C986" s="144"/>
      <c r="D986" s="143"/>
      <c r="E986" s="140"/>
      <c r="F986" s="140"/>
      <c r="G986" s="140"/>
      <c r="H986" s="140"/>
      <c r="I986" s="140"/>
      <c r="J986" s="140"/>
      <c r="K986" s="140"/>
    </row>
    <row r="987" spans="1:11">
      <c r="A987" s="138"/>
      <c r="B987" s="138"/>
      <c r="C987" s="144"/>
      <c r="D987" s="143"/>
      <c r="E987" s="140"/>
      <c r="F987" s="140"/>
      <c r="G987" s="140"/>
      <c r="H987" s="140"/>
      <c r="I987" s="140"/>
      <c r="J987" s="140"/>
      <c r="K987" s="140"/>
    </row>
    <row r="988" spans="1:11">
      <c r="A988" s="138"/>
      <c r="B988" s="138"/>
      <c r="C988" s="144"/>
      <c r="D988" s="143"/>
      <c r="E988" s="140"/>
      <c r="F988" s="140"/>
      <c r="G988" s="140"/>
      <c r="H988" s="140"/>
      <c r="I988" s="140"/>
      <c r="J988" s="140"/>
      <c r="K988" s="140"/>
    </row>
    <row r="989" spans="1:11">
      <c r="A989" s="138"/>
      <c r="B989" s="138"/>
      <c r="C989" s="144"/>
      <c r="D989" s="143"/>
      <c r="E989" s="140"/>
      <c r="F989" s="140"/>
      <c r="G989" s="140"/>
      <c r="H989" s="140"/>
      <c r="I989" s="140"/>
      <c r="J989" s="140"/>
      <c r="K989" s="140"/>
    </row>
    <row r="990" spans="1:11">
      <c r="A990" s="138"/>
      <c r="B990" s="138"/>
      <c r="C990" s="144"/>
      <c r="D990" s="143"/>
      <c r="E990" s="140"/>
      <c r="F990" s="140"/>
      <c r="G990" s="140"/>
      <c r="H990" s="140"/>
      <c r="I990" s="140"/>
      <c r="J990" s="140"/>
      <c r="K990" s="140"/>
    </row>
    <row r="991" spans="1:11">
      <c r="A991" s="138"/>
      <c r="B991" s="138"/>
      <c r="C991" s="144"/>
      <c r="D991" s="143"/>
      <c r="E991" s="140"/>
      <c r="F991" s="140"/>
      <c r="G991" s="140"/>
      <c r="H991" s="140"/>
      <c r="I991" s="140"/>
      <c r="J991" s="140"/>
      <c r="K991" s="140"/>
    </row>
    <row r="992" spans="1:11">
      <c r="A992" s="138"/>
      <c r="B992" s="138"/>
      <c r="C992" s="144"/>
      <c r="D992" s="143"/>
      <c r="E992" s="140"/>
      <c r="F992" s="140"/>
      <c r="G992" s="140"/>
      <c r="H992" s="140"/>
      <c r="I992" s="140"/>
      <c r="J992" s="140"/>
      <c r="K992" s="140"/>
    </row>
    <row r="993" spans="1:11">
      <c r="A993" s="138"/>
      <c r="B993" s="138"/>
      <c r="C993" s="144"/>
      <c r="D993" s="143"/>
      <c r="E993" s="140"/>
      <c r="F993" s="140"/>
      <c r="G993" s="140"/>
      <c r="H993" s="140"/>
      <c r="I993" s="140"/>
      <c r="J993" s="140"/>
      <c r="K993" s="140"/>
    </row>
    <row r="994" spans="1:11">
      <c r="A994" s="138"/>
      <c r="B994" s="138"/>
      <c r="C994" s="144"/>
      <c r="D994" s="143"/>
      <c r="E994" s="140"/>
      <c r="F994" s="140"/>
      <c r="G994" s="140"/>
      <c r="H994" s="140"/>
      <c r="I994" s="140"/>
      <c r="J994" s="140"/>
      <c r="K994" s="140"/>
    </row>
    <row r="995" spans="1:11">
      <c r="A995" s="138"/>
      <c r="B995" s="138"/>
      <c r="C995" s="144"/>
      <c r="D995" s="143"/>
      <c r="E995" s="140"/>
      <c r="F995" s="140"/>
      <c r="G995" s="140"/>
      <c r="H995" s="140"/>
      <c r="I995" s="140"/>
      <c r="J995" s="140"/>
      <c r="K995" s="140"/>
    </row>
    <row r="996" spans="1:11">
      <c r="A996" s="138"/>
      <c r="B996" s="138"/>
      <c r="C996" s="144"/>
      <c r="D996" s="143"/>
      <c r="E996" s="140"/>
      <c r="F996" s="140"/>
      <c r="G996" s="140"/>
      <c r="H996" s="140"/>
      <c r="I996" s="140"/>
      <c r="J996" s="140"/>
      <c r="K996" s="140"/>
    </row>
    <row r="997" spans="1:11">
      <c r="A997" s="138"/>
      <c r="B997" s="138"/>
      <c r="C997" s="144"/>
      <c r="D997" s="143"/>
      <c r="E997" s="140"/>
      <c r="F997" s="140"/>
      <c r="G997" s="140"/>
      <c r="H997" s="140"/>
      <c r="I997" s="140"/>
      <c r="J997" s="140"/>
      <c r="K997" s="140"/>
    </row>
    <row r="998" spans="1:11">
      <c r="A998" s="138"/>
      <c r="B998" s="138"/>
      <c r="C998" s="144"/>
      <c r="D998" s="143"/>
      <c r="E998" s="140"/>
      <c r="F998" s="140"/>
      <c r="G998" s="140"/>
      <c r="H998" s="140"/>
      <c r="I998" s="140"/>
      <c r="J998" s="140"/>
      <c r="K998" s="140"/>
    </row>
    <row r="999" spans="1:11">
      <c r="A999" s="138"/>
      <c r="B999" s="138"/>
      <c r="C999" s="144"/>
      <c r="D999" s="143"/>
      <c r="E999" s="140"/>
      <c r="F999" s="140"/>
      <c r="G999" s="140"/>
      <c r="H999" s="140"/>
      <c r="I999" s="140"/>
      <c r="J999" s="140"/>
      <c r="K999" s="140"/>
    </row>
    <row r="1000" spans="1:11">
      <c r="A1000" s="138"/>
      <c r="B1000" s="138"/>
      <c r="C1000" s="144"/>
      <c r="D1000" s="143"/>
      <c r="E1000" s="140"/>
      <c r="F1000" s="140"/>
      <c r="G1000" s="140"/>
      <c r="H1000" s="140"/>
      <c r="I1000" s="140"/>
      <c r="J1000" s="140"/>
      <c r="K1000" s="140"/>
    </row>
    <row r="1001" spans="1:11">
      <c r="A1001" s="138"/>
      <c r="B1001" s="138"/>
      <c r="C1001" s="144"/>
      <c r="D1001" s="143"/>
      <c r="E1001" s="140"/>
      <c r="F1001" s="140"/>
      <c r="G1001" s="140"/>
      <c r="H1001" s="140"/>
      <c r="I1001" s="140"/>
      <c r="J1001" s="140"/>
      <c r="K1001" s="140"/>
    </row>
    <row r="1002" spans="1:11">
      <c r="A1002" s="138"/>
      <c r="B1002" s="138"/>
      <c r="C1002" s="144"/>
      <c r="D1002" s="143"/>
      <c r="E1002" s="140"/>
      <c r="F1002" s="140"/>
      <c r="G1002" s="140"/>
      <c r="H1002" s="140"/>
      <c r="I1002" s="140"/>
      <c r="J1002" s="140"/>
      <c r="K1002" s="140"/>
    </row>
    <row r="1003" spans="1:11">
      <c r="A1003" s="138"/>
      <c r="B1003" s="138"/>
      <c r="C1003" s="144"/>
      <c r="D1003" s="143"/>
      <c r="E1003" s="140"/>
      <c r="F1003" s="140"/>
      <c r="G1003" s="140"/>
      <c r="H1003" s="140"/>
      <c r="I1003" s="140"/>
      <c r="J1003" s="140"/>
      <c r="K1003" s="140"/>
    </row>
    <row r="1004" spans="1:11">
      <c r="A1004" s="138"/>
      <c r="B1004" s="138"/>
      <c r="C1004" s="144"/>
      <c r="D1004" s="143"/>
      <c r="E1004" s="140"/>
      <c r="F1004" s="140"/>
      <c r="G1004" s="140"/>
      <c r="H1004" s="140"/>
      <c r="I1004" s="140"/>
      <c r="J1004" s="140"/>
      <c r="K1004" s="140"/>
    </row>
    <row r="1005" spans="1:11">
      <c r="A1005" s="138"/>
      <c r="B1005" s="138"/>
      <c r="C1005" s="144"/>
      <c r="D1005" s="143"/>
      <c r="E1005" s="140"/>
      <c r="F1005" s="140"/>
      <c r="G1005" s="140"/>
      <c r="H1005" s="140"/>
      <c r="I1005" s="140"/>
      <c r="J1005" s="140"/>
      <c r="K1005" s="140"/>
    </row>
    <row r="1006" spans="1:11">
      <c r="A1006" s="138"/>
      <c r="B1006" s="138"/>
      <c r="C1006" s="144"/>
      <c r="D1006" s="143"/>
      <c r="E1006" s="140"/>
      <c r="F1006" s="140"/>
      <c r="G1006" s="140"/>
      <c r="H1006" s="140"/>
      <c r="I1006" s="140"/>
      <c r="J1006" s="140"/>
      <c r="K1006" s="140"/>
    </row>
    <row r="1007" spans="1:11">
      <c r="A1007" s="138"/>
      <c r="B1007" s="138"/>
      <c r="C1007" s="144"/>
      <c r="D1007" s="143"/>
      <c r="E1007" s="140"/>
      <c r="F1007" s="140"/>
      <c r="G1007" s="140"/>
      <c r="H1007" s="140"/>
      <c r="I1007" s="140"/>
      <c r="J1007" s="140"/>
      <c r="K1007" s="140"/>
    </row>
    <row r="1008" spans="1:11">
      <c r="A1008" s="138"/>
      <c r="B1008" s="138"/>
      <c r="C1008" s="144"/>
      <c r="D1008" s="143"/>
      <c r="E1008" s="140"/>
      <c r="F1008" s="140"/>
      <c r="G1008" s="140"/>
      <c r="H1008" s="140"/>
      <c r="I1008" s="140"/>
      <c r="J1008" s="140"/>
      <c r="K1008" s="140"/>
    </row>
    <row r="1009" spans="1:11">
      <c r="A1009" s="138"/>
      <c r="B1009" s="138"/>
      <c r="C1009" s="144"/>
      <c r="D1009" s="143"/>
      <c r="E1009" s="140"/>
      <c r="F1009" s="140"/>
      <c r="G1009" s="140"/>
      <c r="H1009" s="140"/>
      <c r="I1009" s="140"/>
      <c r="J1009" s="140"/>
      <c r="K1009" s="140"/>
    </row>
    <row r="1010" spans="1:11">
      <c r="A1010" s="138"/>
      <c r="B1010" s="138"/>
      <c r="C1010" s="144"/>
      <c r="D1010" s="143"/>
      <c r="E1010" s="140"/>
      <c r="F1010" s="140"/>
      <c r="G1010" s="140"/>
      <c r="H1010" s="140"/>
      <c r="I1010" s="140"/>
      <c r="J1010" s="140"/>
      <c r="K1010" s="140"/>
    </row>
    <row r="1011" spans="1:11">
      <c r="A1011" s="138"/>
      <c r="B1011" s="138"/>
      <c r="C1011" s="144"/>
      <c r="D1011" s="143"/>
      <c r="E1011" s="140"/>
      <c r="F1011" s="140"/>
      <c r="G1011" s="140"/>
      <c r="H1011" s="140"/>
      <c r="I1011" s="140"/>
      <c r="J1011" s="140"/>
      <c r="K1011" s="140"/>
    </row>
    <row r="1012" spans="1:11">
      <c r="A1012" s="138"/>
      <c r="B1012" s="138"/>
      <c r="C1012" s="144"/>
      <c r="D1012" s="143"/>
      <c r="E1012" s="140"/>
      <c r="F1012" s="140"/>
      <c r="G1012" s="140"/>
      <c r="H1012" s="140"/>
      <c r="I1012" s="140"/>
      <c r="J1012" s="140"/>
      <c r="K1012" s="140"/>
    </row>
    <row r="1013" spans="1:11">
      <c r="A1013" s="138"/>
      <c r="B1013" s="138"/>
      <c r="C1013" s="144"/>
      <c r="D1013" s="143"/>
      <c r="E1013" s="140"/>
      <c r="F1013" s="140"/>
      <c r="G1013" s="140"/>
      <c r="H1013" s="140"/>
      <c r="I1013" s="140"/>
      <c r="J1013" s="140"/>
      <c r="K1013" s="140"/>
    </row>
    <row r="1014" spans="1:11">
      <c r="A1014" s="138"/>
      <c r="B1014" s="138"/>
      <c r="C1014" s="144"/>
      <c r="D1014" s="143"/>
      <c r="E1014" s="140"/>
      <c r="F1014" s="140"/>
      <c r="G1014" s="140"/>
      <c r="H1014" s="140"/>
      <c r="I1014" s="140"/>
      <c r="J1014" s="140"/>
      <c r="K1014" s="140"/>
    </row>
    <row r="1015" spans="1:11">
      <c r="A1015" s="138"/>
      <c r="B1015" s="138"/>
      <c r="C1015" s="144"/>
      <c r="D1015" s="143"/>
      <c r="E1015" s="140"/>
      <c r="F1015" s="140"/>
      <c r="G1015" s="140"/>
      <c r="H1015" s="140"/>
      <c r="I1015" s="140"/>
      <c r="J1015" s="140"/>
      <c r="K1015" s="140"/>
    </row>
    <row r="1016" spans="1:11">
      <c r="A1016" s="138"/>
      <c r="B1016" s="138"/>
      <c r="C1016" s="144"/>
      <c r="D1016" s="143"/>
      <c r="E1016" s="140"/>
      <c r="F1016" s="140"/>
      <c r="G1016" s="140"/>
      <c r="H1016" s="140"/>
      <c r="I1016" s="140"/>
      <c r="J1016" s="140"/>
      <c r="K1016" s="140"/>
    </row>
    <row r="1017" spans="1:11">
      <c r="A1017" s="138"/>
      <c r="B1017" s="138"/>
      <c r="C1017" s="144"/>
      <c r="D1017" s="143"/>
      <c r="E1017" s="140"/>
      <c r="F1017" s="140"/>
      <c r="G1017" s="140"/>
      <c r="H1017" s="140"/>
      <c r="I1017" s="140"/>
      <c r="J1017" s="140"/>
      <c r="K1017" s="140"/>
    </row>
    <row r="1018" spans="1:11">
      <c r="A1018" s="138"/>
      <c r="B1018" s="138"/>
      <c r="C1018" s="144"/>
      <c r="D1018" s="143"/>
      <c r="E1018" s="140"/>
      <c r="F1018" s="140"/>
      <c r="G1018" s="140"/>
      <c r="H1018" s="140"/>
      <c r="I1018" s="140"/>
      <c r="J1018" s="140"/>
      <c r="K1018" s="140"/>
    </row>
    <row r="1019" spans="1:11">
      <c r="A1019" s="138"/>
      <c r="B1019" s="138"/>
      <c r="C1019" s="144"/>
      <c r="D1019" s="143"/>
      <c r="E1019" s="140"/>
      <c r="F1019" s="140"/>
      <c r="G1019" s="140"/>
      <c r="H1019" s="140"/>
      <c r="I1019" s="140"/>
      <c r="J1019" s="140"/>
      <c r="K1019" s="140"/>
    </row>
    <row r="1020" spans="1:11">
      <c r="A1020" s="138"/>
      <c r="B1020" s="138"/>
      <c r="C1020" s="144"/>
      <c r="D1020" s="143"/>
      <c r="E1020" s="140"/>
      <c r="F1020" s="140"/>
      <c r="G1020" s="140"/>
      <c r="H1020" s="140"/>
      <c r="I1020" s="140"/>
      <c r="J1020" s="140"/>
      <c r="K1020" s="140"/>
    </row>
    <row r="1021" spans="1:11">
      <c r="A1021" s="138"/>
      <c r="B1021" s="138"/>
      <c r="C1021" s="144"/>
      <c r="D1021" s="143"/>
      <c r="E1021" s="140"/>
      <c r="F1021" s="140"/>
      <c r="G1021" s="140"/>
      <c r="H1021" s="140"/>
      <c r="I1021" s="140"/>
      <c r="J1021" s="140"/>
      <c r="K1021" s="140"/>
    </row>
    <row r="1022" spans="1:11">
      <c r="A1022" s="138"/>
      <c r="B1022" s="138"/>
      <c r="C1022" s="144"/>
      <c r="D1022" s="143"/>
      <c r="E1022" s="140"/>
      <c r="F1022" s="140"/>
      <c r="G1022" s="140"/>
      <c r="H1022" s="140"/>
      <c r="I1022" s="140"/>
      <c r="J1022" s="140"/>
      <c r="K1022" s="140"/>
    </row>
    <row r="1023" spans="1:11">
      <c r="A1023" s="138"/>
      <c r="B1023" s="138"/>
      <c r="C1023" s="144"/>
      <c r="D1023" s="143"/>
      <c r="E1023" s="140"/>
      <c r="F1023" s="140"/>
      <c r="G1023" s="140"/>
      <c r="H1023" s="140"/>
      <c r="I1023" s="140"/>
      <c r="J1023" s="140"/>
      <c r="K1023" s="140"/>
    </row>
    <row r="1024" spans="1:11">
      <c r="A1024" s="138"/>
      <c r="B1024" s="138"/>
      <c r="C1024" s="144"/>
      <c r="D1024" s="143"/>
      <c r="E1024" s="140"/>
      <c r="F1024" s="140"/>
      <c r="G1024" s="140"/>
      <c r="H1024" s="140"/>
      <c r="I1024" s="140"/>
      <c r="J1024" s="140"/>
      <c r="K1024" s="140"/>
    </row>
    <row r="1025" spans="1:11">
      <c r="A1025" s="138"/>
      <c r="B1025" s="138"/>
      <c r="C1025" s="144"/>
      <c r="D1025" s="143"/>
      <c r="E1025" s="140"/>
      <c r="F1025" s="140"/>
      <c r="G1025" s="140"/>
      <c r="H1025" s="140"/>
      <c r="I1025" s="140"/>
      <c r="J1025" s="140"/>
      <c r="K1025" s="140"/>
    </row>
    <row r="1026" spans="1:11">
      <c r="A1026" s="138"/>
      <c r="B1026" s="138"/>
      <c r="C1026" s="144"/>
      <c r="D1026" s="143"/>
      <c r="E1026" s="140"/>
      <c r="F1026" s="140"/>
      <c r="G1026" s="140"/>
      <c r="H1026" s="140"/>
      <c r="I1026" s="140"/>
      <c r="J1026" s="140"/>
      <c r="K1026" s="140"/>
    </row>
    <row r="1027" spans="1:11">
      <c r="A1027" s="138"/>
      <c r="B1027" s="138"/>
      <c r="C1027" s="144"/>
      <c r="D1027" s="143"/>
      <c r="E1027" s="140"/>
      <c r="F1027" s="140"/>
      <c r="G1027" s="140"/>
      <c r="H1027" s="140"/>
      <c r="I1027" s="140"/>
      <c r="J1027" s="140"/>
      <c r="K1027" s="140"/>
    </row>
    <row r="1028" spans="1:11">
      <c r="A1028" s="138"/>
      <c r="B1028" s="138"/>
      <c r="C1028" s="144"/>
      <c r="D1028" s="143"/>
      <c r="E1028" s="140"/>
      <c r="F1028" s="140"/>
      <c r="G1028" s="140"/>
      <c r="H1028" s="140"/>
      <c r="I1028" s="140"/>
      <c r="J1028" s="140"/>
      <c r="K1028" s="140"/>
    </row>
    <row r="1029" spans="1:11">
      <c r="A1029" s="138"/>
      <c r="B1029" s="138"/>
      <c r="C1029" s="144"/>
      <c r="D1029" s="143"/>
      <c r="E1029" s="140"/>
      <c r="F1029" s="140"/>
      <c r="G1029" s="140"/>
      <c r="H1029" s="140"/>
      <c r="I1029" s="140"/>
      <c r="J1029" s="140"/>
      <c r="K1029" s="140"/>
    </row>
    <row r="1030" spans="1:11">
      <c r="A1030" s="138"/>
      <c r="B1030" s="138"/>
      <c r="C1030" s="144"/>
      <c r="D1030" s="143"/>
      <c r="E1030" s="140"/>
      <c r="F1030" s="140"/>
      <c r="G1030" s="140"/>
      <c r="H1030" s="140"/>
      <c r="I1030" s="140"/>
      <c r="J1030" s="140"/>
      <c r="K1030" s="140"/>
    </row>
    <row r="1031" spans="1:11">
      <c r="A1031" s="138"/>
      <c r="B1031" s="138"/>
      <c r="C1031" s="144"/>
      <c r="D1031" s="143"/>
      <c r="E1031" s="140"/>
      <c r="F1031" s="140"/>
      <c r="G1031" s="140"/>
      <c r="H1031" s="140"/>
      <c r="I1031" s="140"/>
      <c r="J1031" s="140"/>
      <c r="K1031" s="140"/>
    </row>
    <row r="1032" spans="1:11">
      <c r="A1032" s="138"/>
      <c r="B1032" s="138"/>
      <c r="C1032" s="144"/>
      <c r="D1032" s="143"/>
      <c r="E1032" s="140"/>
      <c r="F1032" s="140"/>
      <c r="G1032" s="140"/>
      <c r="H1032" s="140"/>
      <c r="I1032" s="140"/>
      <c r="J1032" s="140"/>
      <c r="K1032" s="140"/>
    </row>
    <row r="1033" spans="1:11">
      <c r="A1033" s="138"/>
      <c r="B1033" s="138"/>
      <c r="C1033" s="144"/>
      <c r="D1033" s="143"/>
      <c r="E1033" s="140"/>
      <c r="F1033" s="140"/>
      <c r="G1033" s="140"/>
      <c r="H1033" s="140"/>
      <c r="I1033" s="140"/>
      <c r="J1033" s="140"/>
      <c r="K1033" s="140"/>
    </row>
    <row r="1034" spans="1:11">
      <c r="A1034" s="138"/>
      <c r="B1034" s="138"/>
      <c r="C1034" s="144"/>
      <c r="D1034" s="143"/>
      <c r="E1034" s="140"/>
      <c r="F1034" s="140"/>
      <c r="G1034" s="140"/>
      <c r="H1034" s="140"/>
      <c r="I1034" s="140"/>
      <c r="J1034" s="140"/>
      <c r="K1034" s="140"/>
    </row>
    <row r="1035" spans="1:11">
      <c r="A1035" s="138"/>
      <c r="B1035" s="138"/>
      <c r="C1035" s="144"/>
      <c r="D1035" s="143"/>
      <c r="E1035" s="140"/>
      <c r="F1035" s="140"/>
      <c r="G1035" s="140"/>
      <c r="H1035" s="140"/>
      <c r="I1035" s="140"/>
      <c r="J1035" s="140"/>
      <c r="K1035" s="140"/>
    </row>
    <row r="1036" spans="1:11">
      <c r="A1036" s="138"/>
      <c r="B1036" s="138"/>
      <c r="C1036" s="144"/>
      <c r="D1036" s="143"/>
      <c r="E1036" s="140"/>
      <c r="F1036" s="140"/>
      <c r="G1036" s="140"/>
      <c r="H1036" s="140"/>
      <c r="I1036" s="140"/>
      <c r="J1036" s="140"/>
      <c r="K1036" s="140"/>
    </row>
    <row r="1037" spans="1:11">
      <c r="A1037" s="138"/>
      <c r="B1037" s="138"/>
      <c r="C1037" s="144"/>
      <c r="D1037" s="143"/>
      <c r="E1037" s="140"/>
      <c r="F1037" s="140"/>
      <c r="G1037" s="140"/>
      <c r="H1037" s="140"/>
      <c r="I1037" s="140"/>
      <c r="J1037" s="140"/>
      <c r="K1037" s="140"/>
    </row>
    <row r="1038" spans="1:11">
      <c r="A1038" s="138"/>
      <c r="B1038" s="138"/>
      <c r="C1038" s="144"/>
      <c r="D1038" s="143"/>
      <c r="E1038" s="140"/>
      <c r="F1038" s="140"/>
      <c r="G1038" s="140"/>
      <c r="H1038" s="140"/>
      <c r="I1038" s="140"/>
      <c r="J1038" s="140"/>
      <c r="K1038" s="140"/>
    </row>
    <row r="1039" spans="1:11">
      <c r="A1039" s="138"/>
      <c r="B1039" s="138"/>
      <c r="C1039" s="144"/>
      <c r="D1039" s="143"/>
      <c r="E1039" s="140"/>
      <c r="F1039" s="140"/>
      <c r="G1039" s="140"/>
      <c r="H1039" s="140"/>
      <c r="I1039" s="140"/>
      <c r="J1039" s="140"/>
      <c r="K1039" s="140"/>
    </row>
    <row r="1040" spans="1:11">
      <c r="A1040" s="138"/>
      <c r="B1040" s="138"/>
      <c r="C1040" s="144"/>
      <c r="D1040" s="143"/>
      <c r="E1040" s="140"/>
      <c r="F1040" s="140"/>
      <c r="G1040" s="140"/>
      <c r="H1040" s="140"/>
      <c r="I1040" s="140"/>
      <c r="J1040" s="140"/>
      <c r="K1040" s="140"/>
    </row>
    <row r="1041" spans="1:11">
      <c r="A1041" s="138"/>
      <c r="B1041" s="138"/>
      <c r="C1041" s="144"/>
      <c r="D1041" s="143"/>
      <c r="E1041" s="140"/>
      <c r="F1041" s="140"/>
      <c r="G1041" s="140"/>
      <c r="H1041" s="140"/>
      <c r="I1041" s="140"/>
      <c r="J1041" s="140"/>
      <c r="K1041" s="140"/>
    </row>
    <row r="1042" spans="1:11">
      <c r="A1042" s="138"/>
      <c r="B1042" s="138"/>
      <c r="C1042" s="144"/>
      <c r="D1042" s="143"/>
      <c r="E1042" s="140"/>
      <c r="F1042" s="140"/>
      <c r="G1042" s="140"/>
      <c r="H1042" s="140"/>
      <c r="I1042" s="140"/>
      <c r="J1042" s="140"/>
      <c r="K1042" s="140"/>
    </row>
    <row r="1043" spans="1:11">
      <c r="A1043" s="138"/>
    </row>
  </sheetData>
  <sheetProtection algorithmName="SHA-512" hashValue="YgGhvt/uxqlMCYD7mCwoYYayoD3BdvXb57tS4/PgHlZlIYn/Jbw/gykDjLl6YbWoDBX34SimgI+bVakPDbx12A==" saltValue="divMWQO1WOV5q+tBM2uujA==" spinCount="100000" sheet="1" objects="1" scenarios="1"/>
  <mergeCells count="3">
    <mergeCell ref="B6:K10"/>
    <mergeCell ref="G12:I12"/>
    <mergeCell ref="B13:D13"/>
  </mergeCells>
  <conditionalFormatting sqref="E15:E16">
    <cfRule type="containsText" dxfId="33" priority="63" operator="containsText" text="&lt;Choose&gt;">
      <formula>NOT(ISERROR(SEARCH("&lt;Choose&gt;",E15)))</formula>
    </cfRule>
  </conditionalFormatting>
  <conditionalFormatting sqref="E18:E23">
    <cfRule type="containsText" dxfId="32" priority="62" operator="containsText" text="&lt;Choose&gt;">
      <formula>NOT(ISERROR(SEARCH("&lt;Choose&gt;",E18)))</formula>
    </cfRule>
  </conditionalFormatting>
  <conditionalFormatting sqref="E25:E26">
    <cfRule type="containsText" dxfId="31" priority="61" operator="containsText" text="&lt;Choose&gt;">
      <formula>NOT(ISERROR(SEARCH("&lt;Choose&gt;",E25)))</formula>
    </cfRule>
  </conditionalFormatting>
  <conditionalFormatting sqref="E29:E36">
    <cfRule type="containsText" dxfId="30" priority="60" operator="containsText" text="&lt;Choose&gt;">
      <formula>NOT(ISERROR(SEARCH("&lt;Choose&gt;",E29)))</formula>
    </cfRule>
  </conditionalFormatting>
  <conditionalFormatting sqref="E38:E52">
    <cfRule type="containsText" dxfId="29" priority="59" operator="containsText" text="&lt;Choose&gt;">
      <formula>NOT(ISERROR(SEARCH("&lt;Choose&gt;",E38)))</formula>
    </cfRule>
  </conditionalFormatting>
  <conditionalFormatting sqref="E54:E56">
    <cfRule type="containsText" dxfId="28" priority="58" operator="containsText" text="&lt;Choose&gt;">
      <formula>NOT(ISERROR(SEARCH("&lt;Choose&gt;",E54)))</formula>
    </cfRule>
  </conditionalFormatting>
  <conditionalFormatting sqref="E58:E61">
    <cfRule type="containsText" dxfId="27" priority="57" operator="containsText" text="&lt;Choose&gt;">
      <formula>NOT(ISERROR(SEARCH("&lt;Choose&gt;",E58)))</formula>
    </cfRule>
  </conditionalFormatting>
  <conditionalFormatting sqref="E64:E68">
    <cfRule type="containsText" dxfId="26" priority="56" operator="containsText" text="&lt;Choose&gt;">
      <formula>NOT(ISERROR(SEARCH("&lt;Choose&gt;",E64)))</formula>
    </cfRule>
  </conditionalFormatting>
  <conditionalFormatting sqref="E70:E71">
    <cfRule type="containsText" dxfId="25" priority="55" operator="containsText" text="&lt;Choose&gt;">
      <formula>NOT(ISERROR(SEARCH("&lt;Choose&gt;",E70)))</formula>
    </cfRule>
  </conditionalFormatting>
  <conditionalFormatting sqref="E73:E75">
    <cfRule type="containsText" dxfId="24" priority="54" operator="containsText" text="&lt;Choose&gt;">
      <formula>NOT(ISERROR(SEARCH("&lt;Choose&gt;",E73)))</formula>
    </cfRule>
  </conditionalFormatting>
  <conditionalFormatting sqref="E77">
    <cfRule type="containsText" dxfId="23" priority="53" operator="containsText" text="&lt;Choose&gt;">
      <formula>NOT(ISERROR(SEARCH("&lt;Choose&gt;",E77)))</formula>
    </cfRule>
  </conditionalFormatting>
  <conditionalFormatting sqref="E79:E80">
    <cfRule type="containsText" dxfId="22" priority="52" operator="containsText" text="&lt;Choose&gt;">
      <formula>NOT(ISERROR(SEARCH("&lt;Choose&gt;",E79)))</formula>
    </cfRule>
  </conditionalFormatting>
  <conditionalFormatting sqref="E83:E89">
    <cfRule type="containsText" dxfId="21" priority="51" operator="containsText" text="&lt;Choose&gt;">
      <formula>NOT(ISERROR(SEARCH("&lt;Choose&gt;",E83)))</formula>
    </cfRule>
  </conditionalFormatting>
  <conditionalFormatting sqref="E91:E97">
    <cfRule type="containsText" dxfId="20" priority="50" operator="containsText" text="&lt;Choose&gt;">
      <formula>NOT(ISERROR(SEARCH("&lt;Choose&gt;",E91)))</formula>
    </cfRule>
  </conditionalFormatting>
  <conditionalFormatting sqref="E99:E102">
    <cfRule type="containsText" dxfId="19" priority="49" operator="containsText" text="&lt;Choose&gt;">
      <formula>NOT(ISERROR(SEARCH("&lt;Choose&gt;",E99)))</formula>
    </cfRule>
  </conditionalFormatting>
  <conditionalFormatting sqref="G15:I16">
    <cfRule type="containsText" dxfId="18" priority="43" operator="containsText" text="&lt;Choose&gt;">
      <formula>NOT(ISERROR(SEARCH("&lt;Choose&gt;",G15)))</formula>
    </cfRule>
  </conditionalFormatting>
  <conditionalFormatting sqref="G18:I23">
    <cfRule type="containsText" dxfId="17" priority="40" operator="containsText" text="&lt;Choose&gt;">
      <formula>NOT(ISERROR(SEARCH("&lt;Choose&gt;",G18)))</formula>
    </cfRule>
  </conditionalFormatting>
  <conditionalFormatting sqref="G25:I26">
    <cfRule type="containsText" dxfId="16" priority="37" operator="containsText" text="&lt;Choose&gt;">
      <formula>NOT(ISERROR(SEARCH("&lt;Choose&gt;",G25)))</formula>
    </cfRule>
  </conditionalFormatting>
  <conditionalFormatting sqref="G29:I36">
    <cfRule type="containsText" dxfId="15" priority="34" operator="containsText" text="&lt;Choose&gt;">
      <formula>NOT(ISERROR(SEARCH("&lt;Choose&gt;",G29)))</formula>
    </cfRule>
  </conditionalFormatting>
  <conditionalFormatting sqref="G38:I52">
    <cfRule type="containsText" dxfId="14" priority="31" operator="containsText" text="&lt;Choose&gt;">
      <formula>NOT(ISERROR(SEARCH("&lt;Choose&gt;",G38)))</formula>
    </cfRule>
  </conditionalFormatting>
  <conditionalFormatting sqref="G54:I56">
    <cfRule type="containsText" dxfId="13" priority="28" operator="containsText" text="&lt;Choose&gt;">
      <formula>NOT(ISERROR(SEARCH("&lt;Choose&gt;",G54)))</formula>
    </cfRule>
  </conditionalFormatting>
  <conditionalFormatting sqref="G58:I61">
    <cfRule type="containsText" dxfId="12" priority="25" operator="containsText" text="&lt;Choose&gt;">
      <formula>NOT(ISERROR(SEARCH("&lt;Choose&gt;",G58)))</formula>
    </cfRule>
  </conditionalFormatting>
  <conditionalFormatting sqref="G64:I68">
    <cfRule type="containsText" dxfId="11" priority="22" operator="containsText" text="&lt;Choose&gt;">
      <formula>NOT(ISERROR(SEARCH("&lt;Choose&gt;",G64)))</formula>
    </cfRule>
  </conditionalFormatting>
  <conditionalFormatting sqref="G70:I71">
    <cfRule type="containsText" dxfId="10" priority="19" operator="containsText" text="&lt;Choose&gt;">
      <formula>NOT(ISERROR(SEARCH("&lt;Choose&gt;",G70)))</formula>
    </cfRule>
  </conditionalFormatting>
  <conditionalFormatting sqref="G73:I75">
    <cfRule type="containsText" dxfId="9" priority="16" operator="containsText" text="&lt;Choose&gt;">
      <formula>NOT(ISERROR(SEARCH("&lt;Choose&gt;",G73)))</formula>
    </cfRule>
  </conditionalFormatting>
  <conditionalFormatting sqref="G77:I77">
    <cfRule type="containsText" dxfId="8" priority="13" operator="containsText" text="&lt;Choose&gt;">
      <formula>NOT(ISERROR(SEARCH("&lt;Choose&gt;",G77)))</formula>
    </cfRule>
  </conditionalFormatting>
  <conditionalFormatting sqref="G79:I80">
    <cfRule type="containsText" dxfId="7" priority="10" operator="containsText" text="&lt;Choose&gt;">
      <formula>NOT(ISERROR(SEARCH("&lt;Choose&gt;",G79)))</formula>
    </cfRule>
  </conditionalFormatting>
  <conditionalFormatting sqref="G83:I89">
    <cfRule type="containsText" dxfId="6" priority="7" operator="containsText" text="&lt;Choose&gt;">
      <formula>NOT(ISERROR(SEARCH("&lt;Choose&gt;",G83)))</formula>
    </cfRule>
  </conditionalFormatting>
  <conditionalFormatting sqref="G91:I97">
    <cfRule type="containsText" dxfId="5" priority="4" operator="containsText" text="&lt;Choose&gt;">
      <formula>NOT(ISERROR(SEARCH("&lt;Choose&gt;",G91)))</formula>
    </cfRule>
  </conditionalFormatting>
  <conditionalFormatting sqref="G99:I102">
    <cfRule type="containsText" dxfId="4" priority="1" operator="containsText" text="&lt;Choose&gt;">
      <formula>NOT(ISERROR(SEARCH("&lt;Choose&gt;",G99)))</formula>
    </cfRule>
  </conditionalFormatting>
  <dataValidations count="3">
    <dataValidation type="list" allowBlank="1" showInputMessage="1" showErrorMessage="1" sqref="G15:I16 G18:I23 G25:I26 G29:I36 G38:I52 G54:I56 G58:I61 G64:I68 G70:I71 G73:I75 G77:I77 G79:I80 G83:I89 G91:I97 G99:I102" xr:uid="{364E4819-D120-4EB3-BD99-107B019A2EBD}">
      <formula1>"&lt;Choose&gt;,Responsible, -"</formula1>
    </dataValidation>
    <dataValidation type="list" allowBlank="1" showInputMessage="1" showErrorMessage="1" sqref="E81:E82 E98 E90 G81:I82 E78 E76 E72 E69 E62:E63 E57 E53 E37 E27:E28 E24 E17 E14 G17:I17 G24:I24 G27:I28 G37:I37 G53:I53 G57:I57 G62:I63 G69:I69 G72:I72 G76:I76 G78:I78 F14:F102 G90:I90 G98:I98" xr:uid="{B64B6457-231B-4EAC-BA84-7ECD4F5961FC}">
      <formula1>#REF!</formula1>
    </dataValidation>
    <dataValidation type="list" allowBlank="1" showInputMessage="1" showErrorMessage="1" sqref="E15:E16 E18:E23 E25:E26 E29:E36 E38:E52 E54:E56 E58:E61 E64:E68 E70:E71 E73:E75 E77 E79:E80 E83:E89 E91:E97 E99:E102" xr:uid="{C4E5ADD1-F3C7-4E7D-9425-95DC2A95AC7C}">
      <formula1>"&lt;Choose&gt;, Yes, No, Not Applicable"</formula1>
    </dataValidation>
  </dataValidations>
  <pageMargins left="0.7" right="0.7" top="0.75" bottom="0.75" header="0.3" footer="0.3"/>
  <pageSetup orientation="portrait" r:id="rId1"/>
  <headerFooter>
    <oddFooter>&amp;C&amp;1#&amp;"Calibri"&amp;12&amp;K008000Internal Use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7E116-B343-430C-86AB-7B317D867407}">
  <sheetPr codeName="Sheet12"/>
  <dimension ref="A1:S901"/>
  <sheetViews>
    <sheetView showGridLines="0" zoomScale="110" zoomScaleNormal="110" workbookViewId="0">
      <selection activeCell="B3" sqref="B3"/>
    </sheetView>
  </sheetViews>
  <sheetFormatPr defaultColWidth="12.5703125" defaultRowHeight="15"/>
  <cols>
    <col min="1" max="1" width="7.5703125" customWidth="1"/>
    <col min="2" max="2" width="33.42578125" customWidth="1"/>
    <col min="3" max="3" width="13.85546875" customWidth="1"/>
    <col min="4" max="5" width="5.5703125" customWidth="1"/>
    <col min="6" max="6" width="2.140625" customWidth="1"/>
    <col min="7" max="8" width="5.5703125" customWidth="1"/>
    <col min="9" max="9" width="2.140625" customWidth="1"/>
    <col min="10" max="11" width="5.5703125" customWidth="1"/>
    <col min="12" max="12" width="2.140625" customWidth="1"/>
    <col min="13" max="14" width="5.5703125" customWidth="1"/>
    <col min="15" max="15" width="12" customWidth="1"/>
    <col min="16" max="19" width="7.5703125" customWidth="1"/>
  </cols>
  <sheetData>
    <row r="1" spans="1:19" ht="14.25" customHeight="1" thickBot="1">
      <c r="A1" s="175"/>
      <c r="B1" s="175"/>
      <c r="C1" s="175"/>
      <c r="D1" s="175"/>
      <c r="E1" s="175"/>
      <c r="F1" s="175"/>
      <c r="G1" s="175"/>
      <c r="H1" s="175"/>
      <c r="I1" s="175"/>
      <c r="J1" s="175"/>
      <c r="K1" s="175"/>
      <c r="L1" s="175"/>
      <c r="M1" s="175"/>
      <c r="N1" s="175"/>
      <c r="O1" s="175"/>
      <c r="P1" s="175"/>
      <c r="Q1" s="175"/>
      <c r="R1" s="175"/>
      <c r="S1" s="175"/>
    </row>
    <row r="2" spans="1:19" ht="18.75">
      <c r="A2" s="175"/>
      <c r="B2" s="44" t="s">
        <v>1124</v>
      </c>
      <c r="C2" s="37"/>
      <c r="D2" s="37"/>
      <c r="E2" s="37"/>
      <c r="F2" s="37"/>
      <c r="G2" s="36" t="s">
        <v>960</v>
      </c>
      <c r="H2" s="37"/>
      <c r="I2" s="37"/>
      <c r="J2" s="37"/>
      <c r="K2" s="37"/>
      <c r="L2" s="179"/>
      <c r="M2" s="179"/>
      <c r="N2" s="179"/>
      <c r="O2" s="180"/>
      <c r="P2" s="175"/>
      <c r="Q2" s="175"/>
      <c r="R2" s="175"/>
    </row>
    <row r="3" spans="1:19" ht="14.25" customHeight="1">
      <c r="A3" s="175"/>
      <c r="B3" s="46" t="str">
        <f>+Instructions!B3</f>
        <v>Version 1.0 - April 7, 2025</v>
      </c>
      <c r="G3" s="25" t="s">
        <v>962</v>
      </c>
      <c r="L3" s="175"/>
      <c r="M3" s="175"/>
      <c r="N3" s="175"/>
      <c r="O3" s="181"/>
      <c r="P3" s="175"/>
      <c r="Q3" s="175"/>
      <c r="R3" s="175"/>
    </row>
    <row r="4" spans="1:19" ht="14.25" customHeight="1" thickBot="1">
      <c r="A4" s="175"/>
      <c r="B4" s="40"/>
      <c r="C4" s="33"/>
      <c r="D4" s="33"/>
      <c r="E4" s="33"/>
      <c r="F4" s="33"/>
      <c r="G4" s="33"/>
      <c r="H4" s="33"/>
      <c r="I4" s="33"/>
      <c r="J4" s="33"/>
      <c r="K4" s="33"/>
      <c r="L4" s="182"/>
      <c r="M4" s="182"/>
      <c r="N4" s="182"/>
      <c r="O4" s="183"/>
      <c r="P4" s="175"/>
      <c r="Q4" s="175"/>
      <c r="R4" s="175"/>
    </row>
    <row r="5" spans="1:19" ht="14.25" customHeight="1">
      <c r="A5" s="175"/>
      <c r="B5" s="175"/>
      <c r="C5" s="175"/>
      <c r="D5" s="175"/>
      <c r="E5" s="175"/>
      <c r="F5" s="175"/>
      <c r="G5" s="175"/>
      <c r="H5" s="175"/>
      <c r="I5" s="175"/>
      <c r="J5" s="175"/>
      <c r="K5" s="175"/>
      <c r="L5" s="175"/>
      <c r="M5" s="175"/>
      <c r="N5" s="175"/>
      <c r="O5" s="175"/>
      <c r="P5" s="175"/>
      <c r="Q5" s="175"/>
      <c r="R5" s="175"/>
      <c r="S5" s="175"/>
    </row>
    <row r="6" spans="1:19" ht="14.25" customHeight="1">
      <c r="A6" s="175"/>
      <c r="B6" s="176" t="s">
        <v>1338</v>
      </c>
      <c r="C6" s="175"/>
      <c r="D6" s="175"/>
      <c r="E6" s="175"/>
      <c r="F6" s="175"/>
      <c r="G6" s="175"/>
      <c r="H6" s="175"/>
      <c r="I6" s="175"/>
      <c r="J6" s="175"/>
      <c r="K6" s="175"/>
      <c r="L6" s="175"/>
      <c r="M6" s="175"/>
      <c r="N6" s="175"/>
      <c r="O6" s="175"/>
      <c r="P6" s="175"/>
      <c r="Q6" s="175"/>
      <c r="R6" s="175"/>
      <c r="S6" s="175"/>
    </row>
    <row r="7" spans="1:19" ht="14.25" customHeight="1" thickBot="1">
      <c r="A7" s="175"/>
      <c r="B7" s="177" t="s">
        <v>1339</v>
      </c>
      <c r="C7" s="175"/>
      <c r="D7" s="175"/>
      <c r="E7" s="175"/>
      <c r="F7" s="175"/>
      <c r="G7" s="175"/>
      <c r="H7" s="175"/>
      <c r="I7" s="175"/>
      <c r="J7" s="175"/>
      <c r="K7" s="175"/>
      <c r="L7" s="175"/>
      <c r="M7" s="175"/>
      <c r="N7" s="175"/>
      <c r="O7" s="175"/>
      <c r="P7" s="175"/>
      <c r="Q7" s="175"/>
      <c r="R7" s="175"/>
      <c r="S7" s="175"/>
    </row>
    <row r="8" spans="1:19" ht="14.25" customHeight="1">
      <c r="A8" s="175"/>
      <c r="B8" s="204" t="s">
        <v>1340</v>
      </c>
      <c r="C8" s="205"/>
      <c r="D8" s="205"/>
      <c r="E8" s="205"/>
      <c r="F8" s="205"/>
      <c r="G8" s="205"/>
      <c r="H8" s="205"/>
      <c r="I8" s="205"/>
      <c r="J8" s="205"/>
      <c r="K8" s="205"/>
      <c r="L8" s="205"/>
      <c r="M8" s="205"/>
      <c r="N8" s="205"/>
      <c r="O8" s="206"/>
      <c r="P8" s="175"/>
      <c r="Q8" s="175"/>
      <c r="R8" s="175"/>
      <c r="S8" s="175"/>
    </row>
    <row r="9" spans="1:19" ht="14.25" customHeight="1">
      <c r="A9" s="175"/>
      <c r="B9" s="184"/>
      <c r="C9" s="185"/>
      <c r="D9" s="295">
        <v>2024</v>
      </c>
      <c r="E9" s="296"/>
      <c r="F9" s="175"/>
      <c r="G9" s="295">
        <v>2023</v>
      </c>
      <c r="H9" s="296"/>
      <c r="I9" s="175"/>
      <c r="J9" s="295">
        <v>2022</v>
      </c>
      <c r="K9" s="296"/>
      <c r="L9" s="175"/>
      <c r="M9" s="295">
        <v>2021</v>
      </c>
      <c r="N9" s="296"/>
      <c r="O9" s="181"/>
      <c r="P9" s="175"/>
      <c r="Q9" s="175"/>
      <c r="R9" s="175"/>
      <c r="S9" s="175"/>
    </row>
    <row r="10" spans="1:19" ht="14.25" customHeight="1">
      <c r="A10" s="175"/>
      <c r="B10" s="184" t="s">
        <v>1341</v>
      </c>
      <c r="C10" s="185"/>
      <c r="D10" s="186" t="s">
        <v>1245</v>
      </c>
      <c r="E10" s="186" t="s">
        <v>1203</v>
      </c>
      <c r="G10" s="186" t="s">
        <v>1245</v>
      </c>
      <c r="H10" s="186" t="s">
        <v>1203</v>
      </c>
      <c r="J10" s="186" t="s">
        <v>1245</v>
      </c>
      <c r="K10" s="186" t="s">
        <v>1203</v>
      </c>
      <c r="M10" s="186" t="s">
        <v>1245</v>
      </c>
      <c r="N10" s="186" t="s">
        <v>1203</v>
      </c>
      <c r="O10" s="181"/>
      <c r="P10" s="175"/>
      <c r="Q10" s="175"/>
      <c r="R10" s="175"/>
      <c r="S10" s="175"/>
    </row>
    <row r="11" spans="1:19" ht="14.25" customHeight="1">
      <c r="A11" s="175"/>
      <c r="B11" s="187" t="s">
        <v>1342</v>
      </c>
      <c r="C11" s="185"/>
      <c r="D11" s="239"/>
      <c r="E11" s="239"/>
      <c r="F11" s="239"/>
      <c r="G11" s="239"/>
      <c r="H11" s="239"/>
      <c r="I11" s="239"/>
      <c r="J11" s="239"/>
      <c r="K11" s="239"/>
      <c r="L11" s="239"/>
      <c r="M11" s="239"/>
      <c r="N11" s="239"/>
      <c r="O11" s="181"/>
      <c r="P11" s="175"/>
      <c r="Q11" s="175"/>
      <c r="R11" s="175"/>
      <c r="S11" s="175"/>
    </row>
    <row r="12" spans="1:19" ht="14.25" customHeight="1">
      <c r="A12" s="175"/>
      <c r="B12" s="189"/>
      <c r="C12" s="185"/>
      <c r="D12" s="190"/>
      <c r="E12" s="190"/>
      <c r="F12" s="175"/>
      <c r="G12" s="190"/>
      <c r="H12" s="190"/>
      <c r="I12" s="175"/>
      <c r="J12" s="190"/>
      <c r="K12" s="190"/>
      <c r="L12" s="175"/>
      <c r="M12" s="190"/>
      <c r="N12" s="190"/>
      <c r="O12" s="181"/>
      <c r="P12" s="175"/>
      <c r="Q12" s="175"/>
      <c r="R12" s="175"/>
      <c r="S12" s="175"/>
    </row>
    <row r="13" spans="1:19" ht="14.25" customHeight="1">
      <c r="A13" s="175"/>
      <c r="B13" s="191" t="s">
        <v>1343</v>
      </c>
      <c r="C13" s="192"/>
      <c r="D13" s="193"/>
      <c r="E13" s="193"/>
      <c r="F13" s="194"/>
      <c r="G13" s="193"/>
      <c r="H13" s="193"/>
      <c r="I13" s="194"/>
      <c r="J13" s="193"/>
      <c r="K13" s="193"/>
      <c r="L13" s="194"/>
      <c r="M13" s="193"/>
      <c r="N13" s="193"/>
      <c r="O13" s="195"/>
      <c r="P13" s="175"/>
      <c r="Q13" s="175"/>
      <c r="R13" s="175"/>
      <c r="S13" s="175"/>
    </row>
    <row r="14" spans="1:19" ht="14.25" customHeight="1">
      <c r="A14" s="175"/>
      <c r="B14" s="187" t="s">
        <v>1344</v>
      </c>
      <c r="C14" s="185"/>
      <c r="D14" s="190"/>
      <c r="E14" s="190"/>
      <c r="F14" s="175"/>
      <c r="G14" s="190"/>
      <c r="H14" s="190"/>
      <c r="I14" s="175"/>
      <c r="J14" s="190"/>
      <c r="K14" s="190"/>
      <c r="L14" s="175"/>
      <c r="M14" s="190"/>
      <c r="N14" s="190"/>
      <c r="O14" s="181"/>
      <c r="P14" s="175"/>
      <c r="Q14" s="175"/>
      <c r="R14" s="175"/>
      <c r="S14" s="175"/>
    </row>
    <row r="15" spans="1:19" ht="14.25" customHeight="1">
      <c r="A15" s="175"/>
      <c r="B15" s="196" t="s">
        <v>1345</v>
      </c>
      <c r="C15" s="177" t="s">
        <v>1346</v>
      </c>
      <c r="D15" s="239"/>
      <c r="E15" s="239"/>
      <c r="F15" s="239"/>
      <c r="G15" s="239"/>
      <c r="H15" s="239"/>
      <c r="I15" s="239"/>
      <c r="J15" s="239"/>
      <c r="K15" s="239"/>
      <c r="L15" s="239"/>
      <c r="M15" s="239"/>
      <c r="N15" s="239"/>
      <c r="O15" s="181"/>
      <c r="P15" s="175"/>
      <c r="Q15" s="175"/>
      <c r="R15" s="175"/>
      <c r="S15" s="175"/>
    </row>
    <row r="16" spans="1:19" ht="14.25" customHeight="1">
      <c r="A16" s="175"/>
      <c r="B16" s="187"/>
      <c r="C16" s="177" t="s">
        <v>1347</v>
      </c>
      <c r="D16" s="239"/>
      <c r="E16" s="239"/>
      <c r="F16" s="239"/>
      <c r="G16" s="239"/>
      <c r="H16" s="239"/>
      <c r="I16" s="239"/>
      <c r="J16" s="239"/>
      <c r="K16" s="239"/>
      <c r="L16" s="239"/>
      <c r="M16" s="239"/>
      <c r="N16" s="239"/>
      <c r="O16" s="181"/>
      <c r="P16" s="175"/>
      <c r="Q16" s="175"/>
      <c r="R16" s="175"/>
      <c r="S16" s="175"/>
    </row>
    <row r="17" spans="1:19" ht="14.25" customHeight="1">
      <c r="A17" s="175"/>
      <c r="B17" s="187"/>
      <c r="C17" s="177" t="s">
        <v>1348</v>
      </c>
      <c r="D17" s="239"/>
      <c r="E17" s="239"/>
      <c r="F17" s="239"/>
      <c r="G17" s="239"/>
      <c r="H17" s="239"/>
      <c r="I17" s="239"/>
      <c r="J17" s="239"/>
      <c r="K17" s="239"/>
      <c r="L17" s="239"/>
      <c r="M17" s="239"/>
      <c r="N17" s="239"/>
      <c r="O17" s="181"/>
      <c r="P17" s="175"/>
      <c r="Q17" s="175"/>
      <c r="R17" s="175"/>
      <c r="S17" s="175"/>
    </row>
    <row r="18" spans="1:19" ht="14.25" customHeight="1">
      <c r="A18" s="175"/>
      <c r="B18" s="196"/>
      <c r="C18" s="177" t="s">
        <v>1349</v>
      </c>
      <c r="D18" s="239"/>
      <c r="E18" s="239"/>
      <c r="F18" s="239"/>
      <c r="G18" s="239"/>
      <c r="H18" s="239"/>
      <c r="I18" s="239"/>
      <c r="J18" s="239"/>
      <c r="K18" s="239"/>
      <c r="L18" s="239"/>
      <c r="M18" s="239"/>
      <c r="N18" s="239"/>
      <c r="O18" s="181"/>
      <c r="P18" s="175"/>
      <c r="Q18" s="175"/>
      <c r="R18" s="175"/>
      <c r="S18" s="175"/>
    </row>
    <row r="19" spans="1:19" ht="14.25" customHeight="1">
      <c r="A19" s="175"/>
      <c r="B19" s="196"/>
      <c r="C19" s="177" t="s">
        <v>1350</v>
      </c>
      <c r="D19" s="239"/>
      <c r="E19" s="239"/>
      <c r="F19" s="239"/>
      <c r="G19" s="239"/>
      <c r="H19" s="239"/>
      <c r="I19" s="239"/>
      <c r="J19" s="239"/>
      <c r="K19" s="239"/>
      <c r="L19" s="239"/>
      <c r="M19" s="239"/>
      <c r="N19" s="239"/>
      <c r="O19" s="181"/>
      <c r="P19" s="175"/>
      <c r="Q19" s="175"/>
      <c r="R19" s="175"/>
      <c r="S19" s="175"/>
    </row>
    <row r="20" spans="1:19" ht="14.25" customHeight="1">
      <c r="A20" s="175"/>
      <c r="B20" s="189" t="s">
        <v>1351</v>
      </c>
      <c r="D20" s="190"/>
      <c r="E20" s="190"/>
      <c r="F20" s="175"/>
      <c r="G20" s="190"/>
      <c r="H20" s="190"/>
      <c r="I20" s="175"/>
      <c r="J20" s="190"/>
      <c r="K20" s="190"/>
      <c r="L20" s="175"/>
      <c r="M20" s="190"/>
      <c r="N20" s="190"/>
      <c r="O20" s="181"/>
      <c r="P20" s="175"/>
      <c r="Q20" s="175"/>
      <c r="R20" s="175"/>
      <c r="S20" s="175"/>
    </row>
    <row r="21" spans="1:19" ht="14.25" customHeight="1">
      <c r="A21" s="175"/>
      <c r="B21" s="187" t="s">
        <v>1352</v>
      </c>
      <c r="D21" s="239"/>
      <c r="E21" s="239"/>
      <c r="F21" s="239"/>
      <c r="G21" s="239"/>
      <c r="H21" s="239"/>
      <c r="I21" s="239"/>
      <c r="J21" s="239"/>
      <c r="K21" s="239"/>
      <c r="L21" s="239"/>
      <c r="M21" s="239"/>
      <c r="N21" s="239"/>
      <c r="O21" s="181"/>
      <c r="P21" s="175"/>
      <c r="Q21" s="175"/>
      <c r="R21" s="175"/>
      <c r="S21" s="175"/>
    </row>
    <row r="22" spans="1:19" ht="14.25" customHeight="1">
      <c r="A22" s="175"/>
      <c r="B22" s="196"/>
      <c r="O22" s="181"/>
      <c r="P22" s="175"/>
      <c r="Q22" s="175"/>
      <c r="R22" s="175"/>
      <c r="S22" s="175"/>
    </row>
    <row r="23" spans="1:19" ht="14.25" customHeight="1">
      <c r="A23" s="175"/>
      <c r="B23" s="187" t="s">
        <v>1353</v>
      </c>
      <c r="C23" s="177" t="s">
        <v>1354</v>
      </c>
      <c r="D23" s="239"/>
      <c r="E23" s="239"/>
      <c r="F23" s="239"/>
      <c r="G23" s="239"/>
      <c r="H23" s="239"/>
      <c r="I23" s="239"/>
      <c r="J23" s="239"/>
      <c r="K23" s="239"/>
      <c r="L23" s="239"/>
      <c r="M23" s="239"/>
      <c r="N23" s="239"/>
      <c r="O23" s="181"/>
      <c r="P23" s="175"/>
      <c r="Q23" s="175"/>
      <c r="R23" s="175"/>
      <c r="S23" s="175"/>
    </row>
    <row r="24" spans="1:19" ht="14.25" customHeight="1">
      <c r="A24" s="175"/>
      <c r="B24" s="196" t="s">
        <v>1355</v>
      </c>
      <c r="C24" s="177" t="s">
        <v>1356</v>
      </c>
      <c r="D24" s="239"/>
      <c r="E24" s="239"/>
      <c r="F24" s="239"/>
      <c r="G24" s="239"/>
      <c r="H24" s="239"/>
      <c r="I24" s="239"/>
      <c r="J24" s="239"/>
      <c r="K24" s="239"/>
      <c r="L24" s="239"/>
      <c r="M24" s="239"/>
      <c r="N24" s="239"/>
      <c r="O24" s="181"/>
      <c r="P24" s="175"/>
      <c r="Q24" s="175"/>
      <c r="R24" s="175"/>
      <c r="S24" s="175"/>
    </row>
    <row r="25" spans="1:19" ht="14.25" customHeight="1">
      <c r="A25" s="175"/>
      <c r="B25" s="196"/>
      <c r="C25" s="177" t="s">
        <v>1357</v>
      </c>
      <c r="D25" s="239"/>
      <c r="E25" s="239"/>
      <c r="F25" s="239"/>
      <c r="G25" s="239"/>
      <c r="H25" s="239"/>
      <c r="I25" s="239"/>
      <c r="J25" s="239"/>
      <c r="K25" s="239"/>
      <c r="L25" s="239"/>
      <c r="M25" s="239"/>
      <c r="N25" s="239"/>
      <c r="O25" s="181"/>
      <c r="P25" s="175"/>
      <c r="Q25" s="175"/>
      <c r="R25" s="175"/>
      <c r="S25" s="175"/>
    </row>
    <row r="26" spans="1:19" ht="14.25" customHeight="1">
      <c r="A26" s="175"/>
      <c r="B26" s="196"/>
      <c r="C26" s="177" t="s">
        <v>1358</v>
      </c>
      <c r="D26" s="239"/>
      <c r="E26" s="239"/>
      <c r="F26" s="239"/>
      <c r="G26" s="239"/>
      <c r="H26" s="239"/>
      <c r="I26" s="239"/>
      <c r="J26" s="239"/>
      <c r="K26" s="239"/>
      <c r="L26" s="239"/>
      <c r="M26" s="239"/>
      <c r="N26" s="239"/>
      <c r="O26" s="181"/>
      <c r="P26" s="175"/>
      <c r="Q26" s="175"/>
      <c r="R26" s="175"/>
      <c r="S26" s="175"/>
    </row>
    <row r="27" spans="1:19" ht="14.25" customHeight="1">
      <c r="A27" s="175"/>
      <c r="B27" s="196"/>
      <c r="C27" s="177" t="s">
        <v>1359</v>
      </c>
      <c r="D27" s="239"/>
      <c r="E27" s="239"/>
      <c r="F27" s="239"/>
      <c r="G27" s="239"/>
      <c r="H27" s="239"/>
      <c r="I27" s="239"/>
      <c r="J27" s="239"/>
      <c r="K27" s="239"/>
      <c r="L27" s="239"/>
      <c r="M27" s="239"/>
      <c r="N27" s="239"/>
      <c r="O27" s="181"/>
      <c r="P27" s="175"/>
      <c r="Q27" s="175"/>
      <c r="R27" s="175"/>
      <c r="S27" s="175"/>
    </row>
    <row r="28" spans="1:19" ht="14.25" customHeight="1" thickBot="1">
      <c r="A28" s="175"/>
      <c r="B28" s="197"/>
      <c r="C28" s="182"/>
      <c r="D28" s="182"/>
      <c r="E28" s="182"/>
      <c r="F28" s="182"/>
      <c r="G28" s="182"/>
      <c r="H28" s="182"/>
      <c r="I28" s="182"/>
      <c r="J28" s="182"/>
      <c r="K28" s="182"/>
      <c r="L28" s="182"/>
      <c r="M28" s="182"/>
      <c r="N28" s="182"/>
      <c r="O28" s="183"/>
      <c r="P28" s="175"/>
      <c r="Q28" s="175"/>
      <c r="R28" s="175"/>
      <c r="S28" s="175"/>
    </row>
    <row r="29" spans="1:19" ht="14.25" customHeight="1">
      <c r="A29" s="175"/>
      <c r="B29" s="207" t="s">
        <v>1360</v>
      </c>
      <c r="C29" s="205"/>
      <c r="D29" s="205"/>
      <c r="E29" s="205"/>
      <c r="F29" s="205"/>
      <c r="G29" s="205"/>
      <c r="H29" s="205"/>
      <c r="I29" s="205"/>
      <c r="J29" s="205"/>
      <c r="K29" s="205"/>
      <c r="L29" s="205"/>
      <c r="M29" s="205"/>
      <c r="N29" s="205"/>
      <c r="O29" s="206"/>
      <c r="P29" s="175"/>
      <c r="Q29" s="175"/>
      <c r="R29" s="175"/>
      <c r="S29" s="175"/>
    </row>
    <row r="30" spans="1:19" ht="14.25" customHeight="1">
      <c r="A30" s="175"/>
      <c r="B30" s="196"/>
      <c r="C30" s="175"/>
      <c r="D30" s="295">
        <v>2024</v>
      </c>
      <c r="E30" s="296"/>
      <c r="F30" s="175"/>
      <c r="G30" s="295">
        <v>2023</v>
      </c>
      <c r="H30" s="296"/>
      <c r="I30" s="175"/>
      <c r="J30" s="295">
        <v>2022</v>
      </c>
      <c r="K30" s="296"/>
      <c r="L30" s="175"/>
      <c r="M30" s="295">
        <v>2021</v>
      </c>
      <c r="N30" s="296"/>
      <c r="O30" s="181"/>
      <c r="P30" s="175"/>
      <c r="Q30" s="175"/>
      <c r="R30" s="175"/>
      <c r="S30" s="175"/>
    </row>
    <row r="31" spans="1:19" ht="14.25" customHeight="1">
      <c r="A31" s="175"/>
      <c r="B31" s="189" t="s">
        <v>1361</v>
      </c>
      <c r="C31" s="175"/>
      <c r="D31" s="186" t="s">
        <v>1245</v>
      </c>
      <c r="E31" s="186" t="s">
        <v>1203</v>
      </c>
      <c r="G31" s="186" t="s">
        <v>1245</v>
      </c>
      <c r="H31" s="186" t="s">
        <v>1203</v>
      </c>
      <c r="J31" s="186" t="s">
        <v>1245</v>
      </c>
      <c r="K31" s="186" t="s">
        <v>1203</v>
      </c>
      <c r="M31" s="186" t="s">
        <v>1245</v>
      </c>
      <c r="N31" s="186" t="s">
        <v>1203</v>
      </c>
      <c r="O31" s="181"/>
      <c r="P31" s="175"/>
      <c r="Q31" s="175"/>
      <c r="R31" s="175"/>
      <c r="S31" s="175"/>
    </row>
    <row r="32" spans="1:19" ht="14.25" customHeight="1">
      <c r="A32" s="175"/>
      <c r="B32" s="187" t="s">
        <v>1362</v>
      </c>
      <c r="C32" s="175"/>
      <c r="D32" s="239"/>
      <c r="E32" s="239"/>
      <c r="F32" s="239"/>
      <c r="G32" s="239"/>
      <c r="H32" s="239"/>
      <c r="I32" s="239"/>
      <c r="J32" s="239"/>
      <c r="K32" s="239"/>
      <c r="L32" s="239"/>
      <c r="M32" s="239"/>
      <c r="N32" s="239"/>
      <c r="O32" s="181"/>
      <c r="P32" s="175"/>
      <c r="Q32" s="175"/>
      <c r="R32" s="175"/>
      <c r="S32" s="175"/>
    </row>
    <row r="33" spans="1:19" ht="14.25" customHeight="1">
      <c r="A33" s="175"/>
      <c r="B33" s="187" t="s">
        <v>1363</v>
      </c>
      <c r="C33" s="175"/>
      <c r="D33" s="239"/>
      <c r="E33" s="239"/>
      <c r="F33" s="239"/>
      <c r="G33" s="239"/>
      <c r="H33" s="239"/>
      <c r="I33" s="239"/>
      <c r="J33" s="239"/>
      <c r="K33" s="239"/>
      <c r="L33" s="239"/>
      <c r="M33" s="239"/>
      <c r="N33" s="239"/>
      <c r="O33" s="181"/>
      <c r="P33" s="175"/>
      <c r="Q33" s="175"/>
      <c r="R33" s="175"/>
      <c r="S33" s="175"/>
    </row>
    <row r="34" spans="1:19" ht="14.25" customHeight="1">
      <c r="A34" s="175"/>
      <c r="B34" s="187" t="s">
        <v>1364</v>
      </c>
      <c r="C34" s="175"/>
      <c r="D34" s="239"/>
      <c r="E34" s="239"/>
      <c r="F34" s="239"/>
      <c r="G34" s="239"/>
      <c r="H34" s="239"/>
      <c r="I34" s="239"/>
      <c r="J34" s="239"/>
      <c r="K34" s="239"/>
      <c r="L34" s="239"/>
      <c r="M34" s="239"/>
      <c r="N34" s="239"/>
      <c r="O34" s="181"/>
      <c r="P34" s="175"/>
      <c r="Q34" s="175"/>
      <c r="R34" s="175"/>
      <c r="S34" s="175"/>
    </row>
    <row r="35" spans="1:19" ht="14.25" customHeight="1">
      <c r="A35" s="175"/>
      <c r="B35" s="198"/>
      <c r="C35" s="175"/>
      <c r="D35" s="175"/>
      <c r="E35" s="175"/>
      <c r="F35" s="175"/>
      <c r="G35" s="175"/>
      <c r="H35" s="175"/>
      <c r="I35" s="175"/>
      <c r="J35" s="175"/>
      <c r="K35" s="175"/>
      <c r="L35" s="175"/>
      <c r="M35" s="175"/>
      <c r="N35" s="175"/>
      <c r="O35" s="181"/>
      <c r="P35" s="175"/>
      <c r="Q35" s="175"/>
      <c r="R35" s="175"/>
      <c r="S35" s="175"/>
    </row>
    <row r="36" spans="1:19" ht="14.25" customHeight="1">
      <c r="A36" s="175"/>
      <c r="B36" s="189" t="s">
        <v>1365</v>
      </c>
      <c r="C36" s="175"/>
      <c r="D36" s="186" t="s">
        <v>1245</v>
      </c>
      <c r="E36" s="186" t="s">
        <v>1203</v>
      </c>
      <c r="G36" s="186" t="s">
        <v>1245</v>
      </c>
      <c r="H36" s="186" t="s">
        <v>1203</v>
      </c>
      <c r="J36" s="186" t="s">
        <v>1245</v>
      </c>
      <c r="K36" s="186" t="s">
        <v>1203</v>
      </c>
      <c r="M36" s="186" t="s">
        <v>1245</v>
      </c>
      <c r="N36" s="186" t="s">
        <v>1203</v>
      </c>
      <c r="O36" s="181"/>
      <c r="P36" s="175"/>
      <c r="Q36" s="175"/>
      <c r="R36" s="175"/>
      <c r="S36" s="175"/>
    </row>
    <row r="37" spans="1:19" ht="14.25" customHeight="1">
      <c r="A37" s="175"/>
      <c r="B37" s="187" t="s">
        <v>1366</v>
      </c>
      <c r="C37" s="175"/>
      <c r="D37" s="239"/>
      <c r="E37" s="239"/>
      <c r="F37" s="239"/>
      <c r="G37" s="239"/>
      <c r="H37" s="239"/>
      <c r="I37" s="239"/>
      <c r="J37" s="239"/>
      <c r="K37" s="239"/>
      <c r="L37" s="239"/>
      <c r="M37" s="239"/>
      <c r="N37" s="239"/>
      <c r="O37" s="181"/>
      <c r="P37" s="175"/>
      <c r="Q37" s="175"/>
      <c r="R37" s="175"/>
      <c r="S37" s="175"/>
    </row>
    <row r="38" spans="1:19" ht="14.25" customHeight="1">
      <c r="A38" s="175"/>
      <c r="B38" s="187" t="s">
        <v>1367</v>
      </c>
      <c r="C38" s="175"/>
      <c r="D38" s="239"/>
      <c r="E38" s="239"/>
      <c r="F38" s="239"/>
      <c r="G38" s="239"/>
      <c r="H38" s="239"/>
      <c r="I38" s="239"/>
      <c r="J38" s="239"/>
      <c r="K38" s="239"/>
      <c r="L38" s="239"/>
      <c r="M38" s="239"/>
      <c r="N38" s="239"/>
      <c r="O38" s="181"/>
      <c r="P38" s="175"/>
      <c r="Q38" s="175"/>
      <c r="R38" s="175"/>
      <c r="S38" s="175"/>
    </row>
    <row r="39" spans="1:19" ht="14.25" customHeight="1">
      <c r="A39" s="175"/>
      <c r="B39" s="187" t="s">
        <v>1368</v>
      </c>
      <c r="C39" s="175"/>
      <c r="D39" s="239"/>
      <c r="E39" s="239"/>
      <c r="F39" s="239"/>
      <c r="G39" s="239"/>
      <c r="H39" s="239"/>
      <c r="I39" s="239"/>
      <c r="J39" s="239"/>
      <c r="K39" s="239"/>
      <c r="L39" s="239"/>
      <c r="M39" s="239"/>
      <c r="N39" s="239"/>
      <c r="O39" s="181"/>
      <c r="P39" s="175"/>
      <c r="Q39" s="175"/>
      <c r="R39" s="175"/>
      <c r="S39" s="175"/>
    </row>
    <row r="40" spans="1:19" ht="14.25" customHeight="1">
      <c r="A40" s="175"/>
      <c r="B40" s="187" t="s">
        <v>1369</v>
      </c>
      <c r="C40" s="175"/>
      <c r="D40" s="239"/>
      <c r="E40" s="239"/>
      <c r="F40" s="239"/>
      <c r="G40" s="239"/>
      <c r="H40" s="239"/>
      <c r="I40" s="239"/>
      <c r="J40" s="239"/>
      <c r="K40" s="239"/>
      <c r="L40" s="239"/>
      <c r="M40" s="239"/>
      <c r="N40" s="239"/>
      <c r="O40" s="181"/>
      <c r="P40" s="175"/>
      <c r="Q40" s="175"/>
      <c r="R40" s="175"/>
      <c r="S40" s="175"/>
    </row>
    <row r="41" spans="1:19" ht="14.25" customHeight="1" thickBot="1">
      <c r="A41" s="175"/>
      <c r="B41" s="199"/>
      <c r="C41" s="182"/>
      <c r="D41" s="182"/>
      <c r="E41" s="182"/>
      <c r="F41" s="182"/>
      <c r="G41" s="182"/>
      <c r="H41" s="182"/>
      <c r="I41" s="182"/>
      <c r="J41" s="182"/>
      <c r="K41" s="182"/>
      <c r="L41" s="182"/>
      <c r="M41" s="182"/>
      <c r="N41" s="182"/>
      <c r="O41" s="183"/>
      <c r="P41" s="175"/>
      <c r="Q41" s="175"/>
      <c r="R41" s="175"/>
      <c r="S41" s="175"/>
    </row>
    <row r="42" spans="1:19" ht="14.25" customHeight="1">
      <c r="A42" s="175"/>
      <c r="B42" s="176"/>
      <c r="C42" s="175"/>
      <c r="D42" s="175"/>
      <c r="E42" s="175"/>
      <c r="F42" s="175"/>
      <c r="G42" s="175"/>
      <c r="H42" s="175"/>
      <c r="I42" s="175"/>
      <c r="J42" s="175"/>
      <c r="K42" s="175"/>
      <c r="L42" s="175"/>
      <c r="M42" s="175"/>
      <c r="N42" s="175"/>
      <c r="O42" s="175"/>
      <c r="P42" s="175"/>
      <c r="Q42" s="175"/>
      <c r="R42" s="175"/>
      <c r="S42" s="175"/>
    </row>
    <row r="43" spans="1:19" ht="14.25" customHeight="1">
      <c r="A43" s="175"/>
      <c r="B43" s="176" t="s">
        <v>1370</v>
      </c>
      <c r="C43" s="175"/>
      <c r="D43" s="175"/>
      <c r="E43" s="175"/>
      <c r="F43" s="175"/>
      <c r="G43" s="175"/>
      <c r="H43" s="175"/>
      <c r="I43" s="175"/>
      <c r="J43" s="175"/>
      <c r="K43" s="175"/>
      <c r="L43" s="175"/>
      <c r="M43" s="175"/>
      <c r="N43" s="175"/>
      <c r="O43" s="175"/>
      <c r="P43" s="175"/>
      <c r="Q43" s="175"/>
      <c r="R43" s="175"/>
      <c r="S43" s="175"/>
    </row>
    <row r="44" spans="1:19" ht="14.25" customHeight="1" thickBot="1">
      <c r="A44" s="175"/>
      <c r="B44" s="177" t="s">
        <v>1371</v>
      </c>
      <c r="C44" s="175"/>
      <c r="D44" s="175"/>
      <c r="E44" s="175"/>
      <c r="F44" s="175"/>
      <c r="G44" s="175"/>
      <c r="H44" s="175"/>
      <c r="I44" s="175"/>
      <c r="J44" s="175"/>
      <c r="K44" s="175"/>
      <c r="L44" s="175"/>
      <c r="M44" s="175"/>
      <c r="N44" s="175"/>
      <c r="O44" s="175"/>
      <c r="P44" s="175"/>
      <c r="Q44" s="175"/>
      <c r="R44" s="175"/>
      <c r="S44" s="175"/>
    </row>
    <row r="45" spans="1:19" ht="14.25" customHeight="1">
      <c r="A45" s="175"/>
      <c r="B45" s="204" t="s">
        <v>1372</v>
      </c>
      <c r="C45" s="205"/>
      <c r="D45" s="205"/>
      <c r="E45" s="205"/>
      <c r="F45" s="205"/>
      <c r="G45" s="205"/>
      <c r="H45" s="205"/>
      <c r="I45" s="205"/>
      <c r="J45" s="205"/>
      <c r="K45" s="205"/>
      <c r="L45" s="205"/>
      <c r="M45" s="205"/>
      <c r="N45" s="206"/>
      <c r="O45" s="175"/>
      <c r="P45" s="175"/>
      <c r="Q45" s="175"/>
      <c r="R45" s="175"/>
      <c r="S45" s="175"/>
    </row>
    <row r="46" spans="1:19" ht="14.25" customHeight="1">
      <c r="A46" s="175"/>
      <c r="B46" s="184" t="s">
        <v>1373</v>
      </c>
      <c r="C46" s="185"/>
      <c r="D46" s="190">
        <v>2024</v>
      </c>
      <c r="E46" s="190"/>
      <c r="F46" s="175"/>
      <c r="G46" s="190">
        <v>2023</v>
      </c>
      <c r="H46" s="190"/>
      <c r="I46" s="175"/>
      <c r="J46" s="190">
        <v>2022</v>
      </c>
      <c r="K46" s="190"/>
      <c r="L46" s="175"/>
      <c r="M46" s="190">
        <v>2021</v>
      </c>
      <c r="N46" s="181"/>
      <c r="O46" s="175"/>
      <c r="P46" s="175"/>
      <c r="Q46" s="175"/>
      <c r="R46" s="175"/>
      <c r="S46" s="175"/>
    </row>
    <row r="47" spans="1:19" ht="14.25" customHeight="1">
      <c r="A47" s="175"/>
      <c r="B47" s="187" t="s">
        <v>1374</v>
      </c>
      <c r="C47" s="175"/>
      <c r="D47" s="239"/>
      <c r="E47" s="186"/>
      <c r="F47" s="188"/>
      <c r="G47" s="239"/>
      <c r="H47" s="186"/>
      <c r="I47" s="188"/>
      <c r="J47" s="239"/>
      <c r="K47" s="175"/>
      <c r="L47" s="188"/>
      <c r="M47" s="239"/>
      <c r="N47" s="181"/>
      <c r="O47" s="175"/>
      <c r="P47" s="175"/>
      <c r="Q47" s="175"/>
      <c r="R47" s="175"/>
      <c r="S47" s="175"/>
    </row>
    <row r="48" spans="1:19" ht="14.25" customHeight="1">
      <c r="A48" s="175"/>
      <c r="B48" s="187" t="s">
        <v>1375</v>
      </c>
      <c r="C48" s="175"/>
      <c r="D48" s="239"/>
      <c r="E48" s="186"/>
      <c r="F48" s="175"/>
      <c r="G48" s="239"/>
      <c r="H48" s="186"/>
      <c r="I48" s="175"/>
      <c r="J48" s="239"/>
      <c r="K48" s="186"/>
      <c r="L48" s="175"/>
      <c r="M48" s="239"/>
      <c r="N48" s="200"/>
      <c r="O48" s="175"/>
      <c r="P48" s="175"/>
      <c r="Q48" s="175"/>
      <c r="R48" s="175"/>
      <c r="S48" s="175"/>
    </row>
    <row r="49" spans="1:19" ht="14.25" customHeight="1">
      <c r="A49" s="175"/>
      <c r="B49" s="187" t="s">
        <v>1376</v>
      </c>
      <c r="C49" s="175"/>
      <c r="D49" s="239"/>
      <c r="E49" s="186"/>
      <c r="F49" s="175"/>
      <c r="G49" s="239"/>
      <c r="H49" s="186"/>
      <c r="I49" s="175"/>
      <c r="J49" s="239"/>
      <c r="K49" s="186"/>
      <c r="L49" s="175"/>
      <c r="M49" s="239"/>
      <c r="N49" s="200"/>
      <c r="O49" s="175"/>
      <c r="P49" s="175"/>
      <c r="Q49" s="175"/>
      <c r="R49" s="175"/>
      <c r="S49" s="175"/>
    </row>
    <row r="50" spans="1:19" ht="14.25" customHeight="1">
      <c r="A50" s="175"/>
      <c r="B50" s="196"/>
      <c r="C50" s="175"/>
      <c r="D50" s="175"/>
      <c r="E50" s="175"/>
      <c r="F50" s="175"/>
      <c r="G50" s="175"/>
      <c r="H50" s="175"/>
      <c r="I50" s="175"/>
      <c r="J50" s="175"/>
      <c r="K50" s="175"/>
      <c r="L50" s="175"/>
      <c r="M50" s="175"/>
      <c r="N50" s="181"/>
      <c r="O50" s="175"/>
      <c r="P50" s="175"/>
      <c r="Q50" s="175"/>
      <c r="R50" s="175"/>
      <c r="S50" s="175"/>
    </row>
    <row r="51" spans="1:19" ht="14.25" customHeight="1">
      <c r="A51" s="175"/>
      <c r="B51" s="189" t="s">
        <v>1377</v>
      </c>
      <c r="C51" s="175"/>
      <c r="D51" s="190"/>
      <c r="E51" s="186"/>
      <c r="F51" s="186"/>
      <c r="G51" s="190"/>
      <c r="H51" s="186"/>
      <c r="I51" s="186"/>
      <c r="J51" s="190"/>
      <c r="K51" s="186"/>
      <c r="L51" s="186"/>
      <c r="M51" s="190"/>
      <c r="N51" s="200"/>
      <c r="O51" s="175"/>
      <c r="P51" s="175"/>
      <c r="Q51" s="175"/>
      <c r="R51" s="175"/>
      <c r="S51" s="175"/>
    </row>
    <row r="52" spans="1:19" ht="14.25" customHeight="1">
      <c r="A52" s="175"/>
      <c r="B52" s="187" t="s">
        <v>1378</v>
      </c>
      <c r="C52" s="175"/>
      <c r="D52" s="239"/>
      <c r="E52" s="201"/>
      <c r="F52" s="202"/>
      <c r="G52" s="239"/>
      <c r="H52" s="201"/>
      <c r="I52" s="202"/>
      <c r="J52" s="241"/>
      <c r="K52" s="201"/>
      <c r="L52" s="202"/>
      <c r="M52" s="241"/>
      <c r="N52" s="203"/>
      <c r="O52" s="175"/>
      <c r="P52" s="175"/>
      <c r="Q52" s="175"/>
      <c r="R52" s="175"/>
      <c r="S52" s="175"/>
    </row>
    <row r="53" spans="1:19" ht="14.25" customHeight="1">
      <c r="A53" s="175"/>
      <c r="B53" s="187" t="s">
        <v>1379</v>
      </c>
      <c r="C53" s="175"/>
      <c r="D53" s="240"/>
      <c r="E53" s="175"/>
      <c r="F53" s="178"/>
      <c r="G53" s="240"/>
      <c r="H53" s="175"/>
      <c r="I53" s="178"/>
      <c r="J53" s="242"/>
      <c r="K53" s="175"/>
      <c r="L53" s="178"/>
      <c r="M53" s="242"/>
      <c r="N53" s="181"/>
      <c r="O53" s="175"/>
      <c r="P53" s="175"/>
      <c r="Q53" s="175"/>
      <c r="R53" s="175"/>
      <c r="S53" s="175"/>
    </row>
    <row r="54" spans="1:19" ht="14.25" customHeight="1">
      <c r="A54" s="175"/>
      <c r="B54" s="187" t="s">
        <v>1380</v>
      </c>
      <c r="C54" s="175"/>
      <c r="D54" s="240"/>
      <c r="E54" s="175"/>
      <c r="F54" s="178"/>
      <c r="G54" s="240"/>
      <c r="H54" s="175"/>
      <c r="I54" s="178"/>
      <c r="J54" s="242"/>
      <c r="K54" s="175"/>
      <c r="L54" s="178"/>
      <c r="M54" s="242"/>
      <c r="N54" s="181"/>
      <c r="O54" s="175"/>
      <c r="P54" s="175"/>
      <c r="Q54" s="175"/>
      <c r="R54" s="175"/>
      <c r="S54" s="175"/>
    </row>
    <row r="55" spans="1:19" ht="14.25" customHeight="1" thickBot="1">
      <c r="A55" s="175"/>
      <c r="B55" s="197"/>
      <c r="C55" s="182"/>
      <c r="D55" s="182"/>
      <c r="E55" s="182"/>
      <c r="F55" s="182"/>
      <c r="G55" s="182"/>
      <c r="H55" s="182"/>
      <c r="I55" s="182"/>
      <c r="J55" s="182"/>
      <c r="K55" s="182"/>
      <c r="L55" s="182"/>
      <c r="M55" s="182"/>
      <c r="N55" s="183"/>
      <c r="O55" s="175"/>
      <c r="P55" s="175"/>
      <c r="Q55" s="175"/>
      <c r="R55" s="175"/>
      <c r="S55" s="175"/>
    </row>
    <row r="56" spans="1:19" ht="14.25" customHeight="1">
      <c r="A56" s="175"/>
      <c r="B56" s="175"/>
      <c r="C56" s="175"/>
      <c r="D56" s="175"/>
      <c r="E56" s="175"/>
      <c r="F56" s="175"/>
      <c r="G56" s="175"/>
      <c r="H56" s="175"/>
      <c r="I56" s="175"/>
      <c r="J56" s="175"/>
      <c r="K56" s="175"/>
      <c r="L56" s="175"/>
      <c r="M56" s="175"/>
      <c r="N56" s="175"/>
      <c r="O56" s="175"/>
      <c r="P56" s="175"/>
      <c r="Q56" s="175"/>
      <c r="R56" s="175"/>
      <c r="S56" s="175"/>
    </row>
    <row r="57" spans="1:19" ht="14.25" customHeight="1">
      <c r="A57" s="175"/>
      <c r="B57" s="176" t="s">
        <v>1381</v>
      </c>
      <c r="C57" s="175"/>
      <c r="D57" s="175"/>
      <c r="E57" s="175"/>
      <c r="F57" s="175"/>
      <c r="G57" s="175"/>
      <c r="H57" s="175"/>
      <c r="I57" s="175"/>
      <c r="J57" s="175"/>
      <c r="K57" s="175"/>
      <c r="L57" s="175"/>
      <c r="M57" s="175"/>
      <c r="N57" s="175"/>
      <c r="O57" s="175"/>
      <c r="P57" s="175"/>
      <c r="Q57" s="175"/>
      <c r="R57" s="175"/>
      <c r="S57" s="175"/>
    </row>
    <row r="58" spans="1:19" ht="14.25" customHeight="1" thickBot="1">
      <c r="A58" s="175"/>
      <c r="B58" s="177" t="s">
        <v>1382</v>
      </c>
      <c r="C58" s="175"/>
      <c r="D58" s="175"/>
      <c r="E58" s="175"/>
      <c r="F58" s="175"/>
      <c r="G58" s="175"/>
      <c r="H58" s="175"/>
      <c r="I58" s="175"/>
      <c r="J58" s="175"/>
      <c r="K58" s="175"/>
      <c r="L58" s="175"/>
      <c r="M58" s="175"/>
      <c r="N58" s="175"/>
      <c r="O58" s="175"/>
      <c r="P58" s="175"/>
      <c r="Q58" s="175"/>
      <c r="R58" s="175"/>
    </row>
    <row r="59" spans="1:19" ht="14.25" customHeight="1">
      <c r="A59" s="175"/>
      <c r="B59" s="204"/>
      <c r="C59" s="205"/>
      <c r="D59" s="205"/>
      <c r="E59" s="205"/>
      <c r="F59" s="205"/>
      <c r="G59" s="205"/>
      <c r="H59" s="205"/>
      <c r="I59" s="205"/>
      <c r="J59" s="205"/>
      <c r="K59" s="205"/>
      <c r="L59" s="205"/>
      <c r="M59" s="205"/>
      <c r="N59" s="206"/>
      <c r="O59" s="175"/>
      <c r="P59" s="175"/>
      <c r="Q59" s="175"/>
      <c r="R59" s="175"/>
    </row>
    <row r="60" spans="1:19" ht="14.25" customHeight="1">
      <c r="A60" s="175"/>
      <c r="B60" s="184" t="s">
        <v>1383</v>
      </c>
      <c r="C60" s="185"/>
      <c r="D60" s="190">
        <v>2024</v>
      </c>
      <c r="E60" s="190"/>
      <c r="F60" s="175"/>
      <c r="G60" s="190">
        <v>2023</v>
      </c>
      <c r="H60" s="190"/>
      <c r="I60" s="175"/>
      <c r="J60" s="190">
        <v>2022</v>
      </c>
      <c r="K60" s="190"/>
      <c r="L60" s="175"/>
      <c r="M60" s="190">
        <v>2021</v>
      </c>
      <c r="N60" s="181"/>
      <c r="O60" s="175"/>
      <c r="P60" s="175"/>
      <c r="Q60" s="175"/>
      <c r="R60" s="175"/>
      <c r="S60" s="175"/>
    </row>
    <row r="61" spans="1:19" ht="14.25" customHeight="1">
      <c r="A61" s="175"/>
      <c r="B61" s="187" t="s">
        <v>1384</v>
      </c>
      <c r="C61" s="175"/>
      <c r="D61" s="239"/>
      <c r="E61" s="243"/>
      <c r="F61" s="239"/>
      <c r="G61" s="239"/>
      <c r="H61" s="243"/>
      <c r="I61" s="239"/>
      <c r="J61" s="239"/>
      <c r="K61" s="244"/>
      <c r="L61" s="239"/>
      <c r="M61" s="239"/>
      <c r="N61" s="181"/>
      <c r="O61" s="175"/>
      <c r="P61" s="175"/>
      <c r="Q61" s="175"/>
      <c r="R61" s="175"/>
      <c r="S61" s="175"/>
    </row>
    <row r="62" spans="1:19" ht="14.25" customHeight="1">
      <c r="A62" s="175"/>
      <c r="B62" s="187" t="s">
        <v>1385</v>
      </c>
      <c r="C62" s="175"/>
      <c r="D62" s="239"/>
      <c r="E62" s="243"/>
      <c r="F62" s="244"/>
      <c r="G62" s="239"/>
      <c r="H62" s="243"/>
      <c r="I62" s="244"/>
      <c r="J62" s="239"/>
      <c r="K62" s="243"/>
      <c r="L62" s="244"/>
      <c r="M62" s="239"/>
      <c r="N62" s="200"/>
      <c r="O62" s="175"/>
      <c r="P62" s="175"/>
      <c r="Q62" s="175"/>
      <c r="R62" s="175"/>
      <c r="S62" s="175"/>
    </row>
    <row r="63" spans="1:19" ht="14.25" customHeight="1" thickBot="1">
      <c r="A63" s="175"/>
      <c r="B63" s="197"/>
      <c r="C63" s="182"/>
      <c r="D63" s="182"/>
      <c r="E63" s="182"/>
      <c r="F63" s="182"/>
      <c r="G63" s="182"/>
      <c r="H63" s="182"/>
      <c r="I63" s="182"/>
      <c r="J63" s="182"/>
      <c r="K63" s="182"/>
      <c r="L63" s="182"/>
      <c r="M63" s="182"/>
      <c r="N63" s="183"/>
      <c r="O63" s="175"/>
      <c r="P63" s="175"/>
      <c r="Q63" s="175"/>
      <c r="R63" s="175"/>
      <c r="S63" s="175"/>
    </row>
    <row r="64" spans="1:19" ht="14.25" customHeight="1">
      <c r="A64" s="175"/>
      <c r="B64" s="175"/>
      <c r="C64" s="175"/>
      <c r="D64" s="175"/>
      <c r="E64" s="175"/>
      <c r="F64" s="175"/>
      <c r="G64" s="175"/>
      <c r="H64" s="175"/>
      <c r="I64" s="175"/>
      <c r="J64" s="175"/>
      <c r="K64" s="175"/>
      <c r="L64" s="175"/>
      <c r="M64" s="175"/>
      <c r="N64" s="175"/>
      <c r="O64" s="175"/>
      <c r="P64" s="175"/>
      <c r="Q64" s="175"/>
      <c r="R64" s="175"/>
      <c r="S64" s="175"/>
    </row>
    <row r="65" spans="1:19" ht="14.25" customHeight="1">
      <c r="A65" s="175"/>
      <c r="B65" s="175"/>
      <c r="C65" s="175"/>
      <c r="D65" s="175"/>
      <c r="E65" s="175"/>
      <c r="F65" s="175"/>
      <c r="G65" s="175"/>
      <c r="H65" s="175"/>
      <c r="I65" s="175"/>
      <c r="J65" s="175"/>
      <c r="K65" s="175"/>
      <c r="L65" s="175"/>
      <c r="M65" s="175"/>
      <c r="N65" s="175"/>
      <c r="O65" s="175"/>
      <c r="P65" s="175"/>
      <c r="Q65" s="175"/>
      <c r="R65" s="175"/>
      <c r="S65" s="175"/>
    </row>
    <row r="66" spans="1:19" ht="14.25" customHeight="1">
      <c r="A66" s="175"/>
      <c r="B66" s="175"/>
      <c r="C66" s="175"/>
      <c r="D66" s="175"/>
      <c r="E66" s="175"/>
      <c r="F66" s="175"/>
      <c r="G66" s="175"/>
      <c r="H66" s="175"/>
      <c r="I66" s="175"/>
      <c r="J66" s="175"/>
      <c r="K66" s="175"/>
      <c r="L66" s="175"/>
      <c r="M66" s="175"/>
      <c r="N66" s="175"/>
      <c r="O66" s="175"/>
      <c r="P66" s="175"/>
      <c r="Q66" s="175"/>
      <c r="R66" s="175"/>
      <c r="S66" s="175"/>
    </row>
    <row r="67" spans="1:19" ht="14.25" customHeight="1">
      <c r="A67" s="175"/>
      <c r="B67" s="175"/>
      <c r="C67" s="175"/>
      <c r="D67" s="175"/>
      <c r="E67" s="175"/>
      <c r="F67" s="175"/>
      <c r="G67" s="175"/>
      <c r="H67" s="175"/>
      <c r="I67" s="175"/>
      <c r="J67" s="175"/>
      <c r="K67" s="175"/>
      <c r="L67" s="175"/>
      <c r="M67" s="175"/>
      <c r="N67" s="175"/>
      <c r="O67" s="175"/>
      <c r="P67" s="175"/>
      <c r="Q67" s="175"/>
      <c r="R67" s="175"/>
      <c r="S67" s="175"/>
    </row>
    <row r="68" spans="1:19" ht="14.25" customHeight="1">
      <c r="A68" s="175"/>
      <c r="B68" s="175"/>
      <c r="C68" s="175"/>
      <c r="D68" s="175"/>
      <c r="E68" s="175"/>
      <c r="F68" s="175"/>
      <c r="G68" s="175"/>
      <c r="H68" s="175"/>
      <c r="I68" s="175"/>
      <c r="J68" s="175"/>
      <c r="K68" s="175"/>
      <c r="L68" s="175"/>
      <c r="M68" s="175"/>
      <c r="N68" s="175"/>
      <c r="O68" s="175"/>
      <c r="P68" s="175"/>
      <c r="Q68" s="175"/>
      <c r="R68" s="175"/>
      <c r="S68" s="175"/>
    </row>
    <row r="69" spans="1:19" ht="14.25" customHeight="1">
      <c r="A69" s="175"/>
      <c r="B69" s="175"/>
      <c r="C69" s="175"/>
      <c r="D69" s="175"/>
      <c r="E69" s="175"/>
      <c r="F69" s="175"/>
      <c r="G69" s="175"/>
      <c r="H69" s="175"/>
      <c r="I69" s="175"/>
      <c r="J69" s="175"/>
      <c r="K69" s="175"/>
      <c r="L69" s="175"/>
      <c r="M69" s="175"/>
      <c r="N69" s="175"/>
      <c r="O69" s="175"/>
      <c r="P69" s="175"/>
      <c r="Q69" s="175"/>
      <c r="R69" s="175"/>
      <c r="S69" s="175"/>
    </row>
    <row r="70" spans="1:19" ht="14.25" customHeight="1">
      <c r="A70" s="175"/>
      <c r="B70" s="175"/>
      <c r="C70" s="175"/>
      <c r="D70" s="175"/>
      <c r="E70" s="175"/>
      <c r="F70" s="175"/>
      <c r="G70" s="175"/>
      <c r="H70" s="175"/>
      <c r="I70" s="175"/>
      <c r="J70" s="175"/>
      <c r="K70" s="175"/>
      <c r="L70" s="175"/>
      <c r="M70" s="175"/>
      <c r="N70" s="175"/>
      <c r="O70" s="175"/>
      <c r="P70" s="175"/>
      <c r="Q70" s="175"/>
      <c r="R70" s="175"/>
      <c r="S70" s="175"/>
    </row>
    <row r="71" spans="1:19" ht="14.25" customHeight="1">
      <c r="A71" s="175"/>
      <c r="B71" s="175"/>
      <c r="C71" s="175"/>
      <c r="D71" s="175"/>
      <c r="E71" s="175"/>
      <c r="F71" s="175"/>
      <c r="G71" s="175"/>
      <c r="H71" s="175"/>
      <c r="I71" s="175"/>
      <c r="J71" s="175"/>
      <c r="K71" s="175"/>
      <c r="L71" s="175"/>
      <c r="M71" s="175"/>
      <c r="N71" s="175"/>
      <c r="O71" s="175"/>
      <c r="P71" s="175"/>
      <c r="Q71" s="175"/>
      <c r="R71" s="175"/>
      <c r="S71" s="175"/>
    </row>
    <row r="72" spans="1:19" ht="14.25" customHeight="1">
      <c r="A72" s="175"/>
      <c r="B72" s="175"/>
      <c r="C72" s="175"/>
      <c r="D72" s="175"/>
      <c r="E72" s="175"/>
      <c r="F72" s="175"/>
      <c r="G72" s="175"/>
      <c r="H72" s="175"/>
      <c r="I72" s="175"/>
      <c r="J72" s="175"/>
      <c r="K72" s="175"/>
      <c r="L72" s="175"/>
      <c r="M72" s="175"/>
      <c r="N72" s="175"/>
      <c r="O72" s="175"/>
      <c r="P72" s="175"/>
      <c r="Q72" s="175"/>
      <c r="R72" s="175"/>
      <c r="S72" s="175"/>
    </row>
    <row r="73" spans="1:19" ht="14.25" customHeight="1">
      <c r="A73" s="175"/>
      <c r="B73" s="175"/>
      <c r="C73" s="175"/>
      <c r="D73" s="175"/>
      <c r="E73" s="175"/>
      <c r="F73" s="175"/>
      <c r="G73" s="175"/>
      <c r="H73" s="175"/>
      <c r="I73" s="175"/>
      <c r="J73" s="175"/>
      <c r="K73" s="175"/>
      <c r="L73" s="175"/>
      <c r="M73" s="175"/>
      <c r="N73" s="175"/>
      <c r="O73" s="175"/>
      <c r="P73" s="175"/>
      <c r="Q73" s="175"/>
      <c r="R73" s="175"/>
      <c r="S73" s="175"/>
    </row>
    <row r="74" spans="1:19" ht="14.25" customHeight="1">
      <c r="A74" s="175"/>
      <c r="B74" s="175"/>
      <c r="C74" s="175"/>
      <c r="D74" s="175"/>
      <c r="E74" s="175"/>
      <c r="F74" s="175"/>
      <c r="G74" s="175"/>
      <c r="H74" s="175"/>
      <c r="I74" s="175"/>
      <c r="J74" s="175"/>
      <c r="K74" s="175"/>
      <c r="L74" s="175"/>
      <c r="M74" s="175"/>
      <c r="N74" s="175"/>
      <c r="O74" s="175"/>
      <c r="P74" s="175"/>
      <c r="Q74" s="175"/>
      <c r="R74" s="175"/>
      <c r="S74" s="175"/>
    </row>
    <row r="75" spans="1:19" ht="14.25" customHeight="1">
      <c r="A75" s="175"/>
      <c r="B75" s="175"/>
      <c r="C75" s="175"/>
      <c r="D75" s="175"/>
      <c r="E75" s="175"/>
      <c r="F75" s="175"/>
      <c r="G75" s="175"/>
      <c r="H75" s="175"/>
      <c r="I75" s="175"/>
      <c r="J75" s="175"/>
      <c r="K75" s="175"/>
      <c r="L75" s="175"/>
      <c r="M75" s="175"/>
      <c r="N75" s="175"/>
      <c r="O75" s="175"/>
      <c r="P75" s="175"/>
      <c r="Q75" s="175"/>
      <c r="R75" s="175"/>
      <c r="S75" s="175"/>
    </row>
    <row r="76" spans="1:19" ht="14.25" customHeight="1">
      <c r="A76" s="175"/>
      <c r="B76" s="175"/>
      <c r="C76" s="175"/>
      <c r="D76" s="175"/>
      <c r="E76" s="175"/>
      <c r="F76" s="175"/>
      <c r="G76" s="175"/>
      <c r="H76" s="175"/>
      <c r="I76" s="175"/>
      <c r="J76" s="175"/>
      <c r="K76" s="175"/>
      <c r="L76" s="175"/>
      <c r="M76" s="175"/>
      <c r="N76" s="175"/>
      <c r="O76" s="175"/>
      <c r="P76" s="175"/>
      <c r="Q76" s="175"/>
      <c r="R76" s="175"/>
      <c r="S76" s="175"/>
    </row>
    <row r="77" spans="1:19" ht="14.25" customHeight="1">
      <c r="A77" s="175"/>
      <c r="B77" s="175"/>
      <c r="C77" s="175"/>
      <c r="D77" s="175"/>
      <c r="E77" s="175"/>
      <c r="F77" s="175"/>
      <c r="G77" s="175"/>
      <c r="H77" s="175"/>
      <c r="I77" s="175"/>
      <c r="J77" s="175"/>
      <c r="K77" s="175"/>
      <c r="L77" s="175"/>
      <c r="M77" s="175"/>
      <c r="N77" s="175"/>
      <c r="O77" s="175"/>
      <c r="P77" s="175"/>
      <c r="Q77" s="175"/>
      <c r="R77" s="175"/>
      <c r="S77" s="175"/>
    </row>
    <row r="78" spans="1:19" ht="14.25" customHeight="1">
      <c r="A78" s="175"/>
      <c r="B78" s="175"/>
      <c r="C78" s="175"/>
      <c r="D78" s="175"/>
      <c r="E78" s="175"/>
      <c r="F78" s="175"/>
      <c r="G78" s="175"/>
      <c r="H78" s="175"/>
      <c r="I78" s="175"/>
      <c r="J78" s="175"/>
      <c r="K78" s="175"/>
      <c r="L78" s="175"/>
      <c r="M78" s="175"/>
      <c r="N78" s="175"/>
      <c r="O78" s="175"/>
      <c r="P78" s="175"/>
      <c r="Q78" s="175"/>
      <c r="R78" s="175"/>
      <c r="S78" s="175"/>
    </row>
    <row r="79" spans="1:19" ht="14.25" customHeight="1">
      <c r="A79" s="175"/>
      <c r="B79" s="175"/>
      <c r="C79" s="175"/>
      <c r="D79" s="175"/>
      <c r="E79" s="175"/>
      <c r="F79" s="175"/>
      <c r="G79" s="175"/>
      <c r="H79" s="175"/>
      <c r="I79" s="175"/>
      <c r="J79" s="175"/>
      <c r="K79" s="175"/>
      <c r="L79" s="175"/>
      <c r="M79" s="175"/>
      <c r="N79" s="175"/>
      <c r="O79" s="175"/>
      <c r="P79" s="175"/>
      <c r="Q79" s="175"/>
      <c r="R79" s="175"/>
      <c r="S79" s="175"/>
    </row>
    <row r="80" spans="1:19" ht="14.25" customHeight="1">
      <c r="A80" s="175"/>
      <c r="B80" s="175"/>
      <c r="C80" s="175"/>
      <c r="D80" s="175"/>
      <c r="E80" s="175"/>
      <c r="F80" s="175"/>
      <c r="G80" s="175"/>
      <c r="H80" s="175"/>
      <c r="I80" s="175"/>
      <c r="J80" s="175"/>
      <c r="K80" s="175"/>
      <c r="L80" s="175"/>
      <c r="M80" s="175"/>
      <c r="N80" s="175"/>
      <c r="O80" s="175"/>
      <c r="P80" s="175"/>
      <c r="Q80" s="175"/>
      <c r="R80" s="175"/>
      <c r="S80" s="175"/>
    </row>
    <row r="81" spans="1:19" ht="14.25" customHeight="1">
      <c r="A81" s="175"/>
      <c r="B81" s="175"/>
      <c r="C81" s="175"/>
      <c r="D81" s="175"/>
      <c r="E81" s="175"/>
      <c r="F81" s="175"/>
      <c r="G81" s="175"/>
      <c r="H81" s="175"/>
      <c r="I81" s="175"/>
      <c r="J81" s="175"/>
      <c r="K81" s="175"/>
      <c r="L81" s="175"/>
      <c r="M81" s="175"/>
      <c r="N81" s="175"/>
      <c r="O81" s="175"/>
      <c r="P81" s="175"/>
      <c r="Q81" s="175"/>
      <c r="R81" s="175"/>
      <c r="S81" s="175"/>
    </row>
    <row r="82" spans="1:19" ht="14.25" customHeight="1">
      <c r="A82" s="175"/>
      <c r="B82" s="175"/>
      <c r="C82" s="175"/>
      <c r="D82" s="175"/>
      <c r="E82" s="175"/>
      <c r="F82" s="175"/>
      <c r="G82" s="175"/>
      <c r="H82" s="175"/>
      <c r="I82" s="175"/>
      <c r="J82" s="175"/>
      <c r="K82" s="175"/>
      <c r="L82" s="175"/>
      <c r="M82" s="175"/>
      <c r="N82" s="175"/>
      <c r="O82" s="175"/>
      <c r="P82" s="175"/>
      <c r="Q82" s="175"/>
      <c r="R82" s="175"/>
      <c r="S82" s="175"/>
    </row>
    <row r="83" spans="1:19" ht="14.25" customHeight="1">
      <c r="A83" s="175"/>
      <c r="B83" s="175"/>
      <c r="C83" s="175"/>
      <c r="D83" s="175"/>
      <c r="E83" s="175"/>
      <c r="F83" s="175"/>
      <c r="G83" s="175"/>
      <c r="H83" s="175"/>
      <c r="I83" s="175"/>
      <c r="J83" s="175"/>
      <c r="K83" s="175"/>
      <c r="L83" s="175"/>
      <c r="M83" s="175"/>
      <c r="N83" s="175"/>
      <c r="O83" s="175"/>
      <c r="P83" s="175"/>
      <c r="Q83" s="175"/>
      <c r="R83" s="175"/>
      <c r="S83" s="175"/>
    </row>
    <row r="84" spans="1:19" ht="14.25" customHeight="1">
      <c r="A84" s="175"/>
      <c r="B84" s="175"/>
      <c r="C84" s="175"/>
      <c r="D84" s="175"/>
      <c r="E84" s="175"/>
      <c r="F84" s="175"/>
      <c r="G84" s="175"/>
      <c r="H84" s="175"/>
      <c r="I84" s="175"/>
      <c r="J84" s="175"/>
      <c r="K84" s="175"/>
      <c r="L84" s="175"/>
      <c r="M84" s="175"/>
      <c r="N84" s="175"/>
      <c r="O84" s="175"/>
      <c r="P84" s="175"/>
      <c r="Q84" s="175"/>
      <c r="R84" s="175"/>
      <c r="S84" s="175"/>
    </row>
    <row r="85" spans="1:19" ht="14.25" customHeight="1">
      <c r="A85" s="175"/>
      <c r="B85" s="175"/>
      <c r="C85" s="175"/>
      <c r="D85" s="175"/>
      <c r="E85" s="175"/>
      <c r="F85" s="175"/>
      <c r="G85" s="175"/>
      <c r="H85" s="175"/>
      <c r="I85" s="175"/>
      <c r="J85" s="175"/>
      <c r="K85" s="175"/>
      <c r="L85" s="175"/>
      <c r="M85" s="175"/>
      <c r="N85" s="175"/>
      <c r="O85" s="175"/>
      <c r="P85" s="175"/>
      <c r="Q85" s="175"/>
      <c r="R85" s="175"/>
      <c r="S85" s="175"/>
    </row>
    <row r="86" spans="1:19" ht="14.25" customHeight="1">
      <c r="A86" s="175"/>
      <c r="B86" s="175"/>
      <c r="C86" s="175"/>
      <c r="D86" s="175"/>
      <c r="E86" s="175"/>
      <c r="F86" s="175"/>
      <c r="G86" s="175"/>
      <c r="H86" s="175"/>
      <c r="I86" s="175"/>
      <c r="J86" s="175"/>
      <c r="K86" s="175"/>
      <c r="L86" s="175"/>
      <c r="M86" s="175"/>
      <c r="N86" s="175"/>
      <c r="O86" s="175"/>
      <c r="P86" s="175"/>
      <c r="Q86" s="175"/>
      <c r="R86" s="175"/>
      <c r="S86" s="175"/>
    </row>
    <row r="87" spans="1:19" ht="14.25" customHeight="1">
      <c r="A87" s="175"/>
      <c r="B87" s="175"/>
      <c r="C87" s="175"/>
      <c r="D87" s="175"/>
      <c r="E87" s="175"/>
      <c r="F87" s="175"/>
      <c r="G87" s="175"/>
      <c r="H87" s="175"/>
      <c r="I87" s="175"/>
      <c r="J87" s="175"/>
      <c r="K87" s="175"/>
      <c r="L87" s="175"/>
      <c r="M87" s="175"/>
      <c r="N87" s="175"/>
      <c r="O87" s="175"/>
      <c r="P87" s="175"/>
      <c r="Q87" s="175"/>
      <c r="R87" s="175"/>
      <c r="S87" s="175"/>
    </row>
    <row r="88" spans="1:19" ht="14.25" customHeight="1">
      <c r="A88" s="175"/>
      <c r="B88" s="175"/>
      <c r="C88" s="175"/>
      <c r="D88" s="175"/>
      <c r="E88" s="175"/>
      <c r="F88" s="175"/>
      <c r="G88" s="175"/>
      <c r="H88" s="175"/>
      <c r="I88" s="175"/>
      <c r="J88" s="175"/>
      <c r="K88" s="175"/>
      <c r="L88" s="175"/>
      <c r="M88" s="175"/>
      <c r="N88" s="175"/>
      <c r="O88" s="175"/>
      <c r="P88" s="175"/>
      <c r="Q88" s="175"/>
      <c r="R88" s="175"/>
      <c r="S88" s="175"/>
    </row>
    <row r="89" spans="1:19" ht="14.25" customHeight="1">
      <c r="A89" s="175"/>
      <c r="B89" s="175"/>
      <c r="C89" s="175"/>
      <c r="D89" s="175"/>
      <c r="E89" s="175"/>
      <c r="F89" s="175"/>
      <c r="G89" s="175"/>
      <c r="H89" s="175"/>
      <c r="I89" s="175"/>
      <c r="J89" s="175"/>
      <c r="K89" s="175"/>
      <c r="L89" s="175"/>
      <c r="M89" s="175"/>
      <c r="N89" s="175"/>
      <c r="O89" s="175"/>
      <c r="P89" s="175"/>
      <c r="Q89" s="175"/>
      <c r="R89" s="175"/>
      <c r="S89" s="175"/>
    </row>
    <row r="90" spans="1:19" ht="14.25" customHeight="1">
      <c r="A90" s="175"/>
      <c r="B90" s="175"/>
      <c r="C90" s="175"/>
      <c r="D90" s="175"/>
      <c r="E90" s="175"/>
      <c r="F90" s="175"/>
      <c r="G90" s="175"/>
      <c r="H90" s="175"/>
      <c r="I90" s="175"/>
      <c r="J90" s="175"/>
      <c r="K90" s="175"/>
      <c r="L90" s="175"/>
      <c r="M90" s="175"/>
      <c r="N90" s="175"/>
      <c r="O90" s="175"/>
      <c r="P90" s="175"/>
      <c r="Q90" s="175"/>
      <c r="R90" s="175"/>
      <c r="S90" s="175"/>
    </row>
    <row r="91" spans="1:19" ht="14.25" customHeight="1">
      <c r="A91" s="175"/>
      <c r="B91" s="175"/>
      <c r="C91" s="175"/>
      <c r="D91" s="175"/>
      <c r="E91" s="175"/>
      <c r="F91" s="175"/>
      <c r="G91" s="175"/>
      <c r="H91" s="175"/>
      <c r="I91" s="175"/>
      <c r="J91" s="175"/>
      <c r="K91" s="175"/>
      <c r="L91" s="175"/>
      <c r="M91" s="175"/>
      <c r="N91" s="175"/>
      <c r="O91" s="175"/>
      <c r="P91" s="175"/>
      <c r="Q91" s="175"/>
      <c r="R91" s="175"/>
      <c r="S91" s="175"/>
    </row>
    <row r="92" spans="1:19" ht="14.25" customHeight="1">
      <c r="A92" s="175"/>
      <c r="B92" s="175"/>
      <c r="C92" s="175"/>
      <c r="D92" s="175"/>
      <c r="E92" s="175"/>
      <c r="F92" s="175"/>
      <c r="G92" s="175"/>
      <c r="H92" s="175"/>
      <c r="I92" s="175"/>
      <c r="J92" s="175"/>
      <c r="K92" s="175"/>
      <c r="L92" s="175"/>
      <c r="M92" s="175"/>
      <c r="N92" s="175"/>
      <c r="O92" s="175"/>
      <c r="P92" s="175"/>
      <c r="Q92" s="175"/>
      <c r="R92" s="175"/>
      <c r="S92" s="175"/>
    </row>
    <row r="93" spans="1:19" ht="14.25" customHeight="1">
      <c r="A93" s="175"/>
      <c r="B93" s="175"/>
      <c r="C93" s="175"/>
      <c r="D93" s="175"/>
      <c r="E93" s="175"/>
      <c r="F93" s="175"/>
      <c r="G93" s="175"/>
      <c r="H93" s="175"/>
      <c r="I93" s="175"/>
      <c r="J93" s="175"/>
      <c r="K93" s="175"/>
      <c r="L93" s="175"/>
      <c r="M93" s="175"/>
      <c r="N93" s="175"/>
      <c r="O93" s="175"/>
      <c r="P93" s="175"/>
      <c r="Q93" s="175"/>
      <c r="R93" s="175"/>
      <c r="S93" s="175"/>
    </row>
    <row r="94" spans="1:19" ht="14.25" customHeight="1">
      <c r="A94" s="175"/>
      <c r="B94" s="175"/>
      <c r="C94" s="175"/>
      <c r="D94" s="175"/>
      <c r="E94" s="175"/>
      <c r="F94" s="175"/>
      <c r="G94" s="175"/>
      <c r="H94" s="175"/>
      <c r="I94" s="175"/>
      <c r="J94" s="175"/>
      <c r="K94" s="175"/>
      <c r="L94" s="175"/>
      <c r="M94" s="175"/>
      <c r="N94" s="175"/>
      <c r="O94" s="175"/>
      <c r="P94" s="175"/>
      <c r="Q94" s="175"/>
      <c r="R94" s="175"/>
      <c r="S94" s="175"/>
    </row>
    <row r="95" spans="1:19" ht="14.25" customHeight="1">
      <c r="A95" s="175"/>
      <c r="B95" s="175"/>
      <c r="C95" s="175"/>
      <c r="D95" s="175"/>
      <c r="E95" s="175"/>
      <c r="F95" s="175"/>
      <c r="G95" s="175"/>
      <c r="H95" s="175"/>
      <c r="I95" s="175"/>
      <c r="J95" s="175"/>
      <c r="K95" s="175"/>
      <c r="L95" s="175"/>
      <c r="M95" s="175"/>
      <c r="N95" s="175"/>
      <c r="O95" s="175"/>
      <c r="P95" s="175"/>
      <c r="Q95" s="175"/>
      <c r="R95" s="175"/>
      <c r="S95" s="175"/>
    </row>
    <row r="96" spans="1:19" ht="14.25" customHeight="1">
      <c r="A96" s="175"/>
      <c r="B96" s="175"/>
      <c r="C96" s="175"/>
      <c r="D96" s="175"/>
      <c r="E96" s="175"/>
      <c r="F96" s="175"/>
      <c r="G96" s="175"/>
      <c r="H96" s="175"/>
      <c r="I96" s="175"/>
      <c r="J96" s="175"/>
      <c r="K96" s="175"/>
      <c r="L96" s="175"/>
      <c r="M96" s="175"/>
      <c r="N96" s="175"/>
      <c r="O96" s="175"/>
      <c r="P96" s="175"/>
      <c r="Q96" s="175"/>
      <c r="R96" s="175"/>
      <c r="S96" s="175"/>
    </row>
    <row r="97" spans="1:19" ht="14.25" customHeight="1">
      <c r="A97" s="175"/>
      <c r="B97" s="175"/>
      <c r="C97" s="175"/>
      <c r="D97" s="175"/>
      <c r="E97" s="175"/>
      <c r="F97" s="175"/>
      <c r="G97" s="175"/>
      <c r="H97" s="175"/>
      <c r="I97" s="175"/>
      <c r="J97" s="175"/>
      <c r="K97" s="175"/>
      <c r="L97" s="175"/>
      <c r="M97" s="175"/>
      <c r="N97" s="175"/>
      <c r="O97" s="175"/>
      <c r="P97" s="175"/>
      <c r="Q97" s="175"/>
      <c r="R97" s="175"/>
      <c r="S97" s="175"/>
    </row>
    <row r="98" spans="1:19" ht="14.25" customHeight="1">
      <c r="A98" s="175"/>
      <c r="B98" s="175"/>
      <c r="C98" s="175"/>
      <c r="D98" s="175"/>
      <c r="E98" s="175"/>
      <c r="F98" s="175"/>
      <c r="G98" s="175"/>
      <c r="H98" s="175"/>
      <c r="I98" s="175"/>
      <c r="J98" s="175"/>
      <c r="K98" s="175"/>
      <c r="L98" s="175"/>
      <c r="M98" s="175"/>
      <c r="N98" s="175"/>
      <c r="O98" s="175"/>
      <c r="P98" s="175"/>
      <c r="Q98" s="175"/>
      <c r="R98" s="175"/>
      <c r="S98" s="175"/>
    </row>
    <row r="99" spans="1:19" ht="14.25" customHeight="1">
      <c r="A99" s="175"/>
      <c r="B99" s="175"/>
      <c r="C99" s="175"/>
      <c r="D99" s="175"/>
      <c r="E99" s="175"/>
      <c r="F99" s="175"/>
      <c r="G99" s="175"/>
      <c r="H99" s="175"/>
      <c r="I99" s="175"/>
      <c r="J99" s="175"/>
      <c r="K99" s="175"/>
      <c r="L99" s="175"/>
      <c r="M99" s="175"/>
      <c r="N99" s="175"/>
      <c r="O99" s="175"/>
      <c r="P99" s="175"/>
      <c r="Q99" s="175"/>
      <c r="R99" s="175"/>
      <c r="S99" s="175"/>
    </row>
    <row r="100" spans="1:19" ht="14.25" customHeight="1">
      <c r="A100" s="175"/>
      <c r="B100" s="175"/>
      <c r="C100" s="175"/>
      <c r="D100" s="175"/>
      <c r="E100" s="175"/>
      <c r="F100" s="175"/>
      <c r="G100" s="175"/>
      <c r="H100" s="175"/>
      <c r="I100" s="175"/>
      <c r="J100" s="175"/>
      <c r="K100" s="175"/>
      <c r="L100" s="175"/>
      <c r="M100" s="175"/>
      <c r="N100" s="175"/>
      <c r="O100" s="175"/>
      <c r="P100" s="175"/>
      <c r="Q100" s="175"/>
      <c r="R100" s="175"/>
      <c r="S100" s="175"/>
    </row>
    <row r="101" spans="1:19" ht="14.25" customHeight="1">
      <c r="A101" s="175"/>
      <c r="B101" s="175"/>
      <c r="C101" s="175"/>
      <c r="D101" s="175"/>
      <c r="E101" s="175"/>
      <c r="F101" s="175"/>
      <c r="G101" s="175"/>
      <c r="H101" s="175"/>
      <c r="I101" s="175"/>
      <c r="J101" s="175"/>
      <c r="K101" s="175"/>
      <c r="L101" s="175"/>
      <c r="M101" s="175"/>
      <c r="N101" s="175"/>
      <c r="O101" s="175"/>
      <c r="P101" s="175"/>
      <c r="Q101" s="175"/>
      <c r="R101" s="175"/>
      <c r="S101" s="175"/>
    </row>
    <row r="102" spans="1:19" ht="14.25" customHeight="1">
      <c r="A102" s="175"/>
      <c r="B102" s="175"/>
      <c r="C102" s="175"/>
      <c r="D102" s="175"/>
      <c r="E102" s="175"/>
      <c r="F102" s="175"/>
      <c r="G102" s="175"/>
      <c r="H102" s="175"/>
      <c r="I102" s="175"/>
      <c r="J102" s="175"/>
      <c r="K102" s="175"/>
      <c r="L102" s="175"/>
      <c r="M102" s="175"/>
      <c r="N102" s="175"/>
      <c r="O102" s="175"/>
      <c r="P102" s="175"/>
      <c r="Q102" s="175"/>
      <c r="R102" s="175"/>
      <c r="S102" s="175"/>
    </row>
    <row r="103" spans="1:19" ht="14.25" customHeight="1">
      <c r="A103" s="175"/>
      <c r="B103" s="175"/>
      <c r="C103" s="175"/>
      <c r="D103" s="175"/>
      <c r="E103" s="175"/>
      <c r="F103" s="175"/>
      <c r="G103" s="175"/>
      <c r="H103" s="175"/>
      <c r="I103" s="175"/>
      <c r="J103" s="175"/>
      <c r="K103" s="175"/>
      <c r="L103" s="175"/>
      <c r="M103" s="175"/>
      <c r="N103" s="175"/>
      <c r="O103" s="175"/>
      <c r="P103" s="175"/>
      <c r="Q103" s="175"/>
      <c r="R103" s="175"/>
      <c r="S103" s="175"/>
    </row>
    <row r="104" spans="1:19" ht="14.25" customHeight="1">
      <c r="A104" s="175"/>
      <c r="B104" s="175"/>
      <c r="C104" s="175"/>
      <c r="D104" s="175"/>
      <c r="E104" s="175"/>
      <c r="F104" s="175"/>
      <c r="G104" s="175"/>
      <c r="H104" s="175"/>
      <c r="I104" s="175"/>
      <c r="J104" s="175"/>
      <c r="K104" s="175"/>
      <c r="L104" s="175"/>
      <c r="M104" s="175"/>
      <c r="N104" s="175"/>
      <c r="O104" s="175"/>
      <c r="P104" s="175"/>
      <c r="Q104" s="175"/>
      <c r="R104" s="175"/>
      <c r="S104" s="175"/>
    </row>
    <row r="105" spans="1:19" ht="14.25" customHeight="1">
      <c r="A105" s="175"/>
      <c r="B105" s="175"/>
      <c r="C105" s="175"/>
      <c r="D105" s="175"/>
      <c r="E105" s="175"/>
      <c r="F105" s="175"/>
      <c r="G105" s="175"/>
      <c r="H105" s="175"/>
      <c r="I105" s="175"/>
      <c r="J105" s="175"/>
      <c r="K105" s="175"/>
      <c r="L105" s="175"/>
      <c r="M105" s="175"/>
      <c r="N105" s="175"/>
      <c r="O105" s="175"/>
      <c r="P105" s="175"/>
      <c r="Q105" s="175"/>
      <c r="R105" s="175"/>
      <c r="S105" s="175"/>
    </row>
    <row r="106" spans="1:19" ht="14.25" customHeight="1">
      <c r="A106" s="175"/>
      <c r="B106" s="175"/>
      <c r="C106" s="175"/>
      <c r="D106" s="175"/>
      <c r="E106" s="175"/>
      <c r="F106" s="175"/>
      <c r="G106" s="175"/>
      <c r="H106" s="175"/>
      <c r="I106" s="175"/>
      <c r="J106" s="175"/>
      <c r="K106" s="175"/>
      <c r="L106" s="175"/>
      <c r="M106" s="175"/>
      <c r="N106" s="175"/>
      <c r="O106" s="175"/>
      <c r="P106" s="175"/>
      <c r="Q106" s="175"/>
      <c r="R106" s="175"/>
      <c r="S106" s="175"/>
    </row>
    <row r="107" spans="1:19" ht="14.25" customHeight="1">
      <c r="A107" s="175"/>
      <c r="B107" s="175"/>
      <c r="C107" s="175"/>
      <c r="D107" s="175"/>
      <c r="E107" s="175"/>
      <c r="F107" s="175"/>
      <c r="G107" s="175"/>
      <c r="H107" s="175"/>
      <c r="I107" s="175"/>
      <c r="J107" s="175"/>
      <c r="K107" s="175"/>
      <c r="L107" s="175"/>
      <c r="M107" s="175"/>
      <c r="N107" s="175"/>
      <c r="O107" s="175"/>
      <c r="P107" s="175"/>
      <c r="Q107" s="175"/>
      <c r="R107" s="175"/>
      <c r="S107" s="175"/>
    </row>
    <row r="108" spans="1:19" ht="14.25" customHeight="1">
      <c r="A108" s="175"/>
      <c r="B108" s="175"/>
      <c r="C108" s="175"/>
      <c r="D108" s="175"/>
      <c r="E108" s="175"/>
      <c r="F108" s="175"/>
      <c r="G108" s="175"/>
      <c r="H108" s="175"/>
      <c r="I108" s="175"/>
      <c r="J108" s="175"/>
      <c r="K108" s="175"/>
      <c r="L108" s="175"/>
      <c r="M108" s="175"/>
      <c r="N108" s="175"/>
      <c r="O108" s="175"/>
      <c r="P108" s="175"/>
      <c r="Q108" s="175"/>
      <c r="R108" s="175"/>
      <c r="S108" s="175"/>
    </row>
    <row r="109" spans="1:19" ht="14.25" customHeight="1">
      <c r="A109" s="175"/>
      <c r="B109" s="175"/>
      <c r="C109" s="175"/>
      <c r="D109" s="175"/>
      <c r="E109" s="175"/>
      <c r="F109" s="175"/>
      <c r="G109" s="175"/>
      <c r="H109" s="175"/>
      <c r="I109" s="175"/>
      <c r="J109" s="175"/>
      <c r="K109" s="175"/>
      <c r="L109" s="175"/>
      <c r="M109" s="175"/>
      <c r="N109" s="175"/>
      <c r="O109" s="175"/>
      <c r="P109" s="175"/>
      <c r="Q109" s="175"/>
      <c r="R109" s="175"/>
      <c r="S109" s="175"/>
    </row>
    <row r="110" spans="1:19" ht="14.25" customHeight="1">
      <c r="A110" s="175"/>
      <c r="B110" s="175"/>
      <c r="C110" s="175"/>
      <c r="D110" s="175"/>
      <c r="E110" s="175"/>
      <c r="F110" s="175"/>
      <c r="G110" s="175"/>
      <c r="H110" s="175"/>
      <c r="I110" s="175"/>
      <c r="J110" s="175"/>
      <c r="K110" s="175"/>
      <c r="L110" s="175"/>
      <c r="M110" s="175"/>
      <c r="N110" s="175"/>
      <c r="O110" s="175"/>
      <c r="P110" s="175"/>
      <c r="Q110" s="175"/>
      <c r="R110" s="175"/>
      <c r="S110" s="175"/>
    </row>
    <row r="111" spans="1:19" ht="14.25" customHeight="1">
      <c r="A111" s="175"/>
      <c r="B111" s="175"/>
      <c r="C111" s="175"/>
      <c r="D111" s="175"/>
      <c r="E111" s="175"/>
      <c r="F111" s="175"/>
      <c r="G111" s="175"/>
      <c r="H111" s="175"/>
      <c r="I111" s="175"/>
      <c r="J111" s="175"/>
      <c r="K111" s="175"/>
      <c r="L111" s="175"/>
      <c r="M111" s="175"/>
      <c r="N111" s="175"/>
      <c r="O111" s="175"/>
      <c r="P111" s="175"/>
      <c r="Q111" s="175"/>
      <c r="R111" s="175"/>
      <c r="S111" s="175"/>
    </row>
    <row r="112" spans="1:19" ht="14.25" customHeight="1">
      <c r="A112" s="175"/>
      <c r="B112" s="175"/>
      <c r="C112" s="175"/>
      <c r="D112" s="175"/>
      <c r="E112" s="175"/>
      <c r="F112" s="175"/>
      <c r="G112" s="175"/>
      <c r="H112" s="175"/>
      <c r="I112" s="175"/>
      <c r="J112" s="175"/>
      <c r="K112" s="175"/>
      <c r="L112" s="175"/>
      <c r="M112" s="175"/>
      <c r="N112" s="175"/>
      <c r="O112" s="175"/>
      <c r="P112" s="175"/>
      <c r="Q112" s="175"/>
      <c r="R112" s="175"/>
      <c r="S112" s="175"/>
    </row>
    <row r="113" spans="1:19" ht="14.25" customHeight="1">
      <c r="A113" s="175"/>
      <c r="B113" s="175"/>
      <c r="C113" s="175"/>
      <c r="D113" s="175"/>
      <c r="E113" s="175"/>
      <c r="F113" s="175"/>
      <c r="G113" s="175"/>
      <c r="H113" s="175"/>
      <c r="I113" s="175"/>
      <c r="J113" s="175"/>
      <c r="K113" s="175"/>
      <c r="L113" s="175"/>
      <c r="M113" s="175"/>
      <c r="N113" s="175"/>
      <c r="O113" s="175"/>
      <c r="P113" s="175"/>
      <c r="Q113" s="175"/>
      <c r="R113" s="175"/>
      <c r="S113" s="175"/>
    </row>
    <row r="114" spans="1:19" ht="14.25" customHeight="1">
      <c r="A114" s="175"/>
      <c r="B114" s="175"/>
      <c r="C114" s="175"/>
      <c r="D114" s="175"/>
      <c r="E114" s="175"/>
      <c r="F114" s="175"/>
      <c r="G114" s="175"/>
      <c r="H114" s="175"/>
      <c r="I114" s="175"/>
      <c r="J114" s="175"/>
      <c r="K114" s="175"/>
      <c r="L114" s="175"/>
      <c r="M114" s="175"/>
      <c r="N114" s="175"/>
      <c r="O114" s="175"/>
      <c r="P114" s="175"/>
      <c r="Q114" s="175"/>
      <c r="R114" s="175"/>
      <c r="S114" s="175"/>
    </row>
    <row r="115" spans="1:19" ht="14.25" customHeight="1">
      <c r="A115" s="175"/>
      <c r="B115" s="175"/>
      <c r="C115" s="175"/>
      <c r="D115" s="175"/>
      <c r="E115" s="175"/>
      <c r="F115" s="175"/>
      <c r="G115" s="175"/>
      <c r="H115" s="175"/>
      <c r="I115" s="175"/>
      <c r="J115" s="175"/>
      <c r="K115" s="175"/>
      <c r="L115" s="175"/>
      <c r="M115" s="175"/>
      <c r="N115" s="175"/>
      <c r="O115" s="175"/>
      <c r="P115" s="175"/>
      <c r="Q115" s="175"/>
      <c r="R115" s="175"/>
      <c r="S115" s="175"/>
    </row>
    <row r="116" spans="1:19" ht="14.25" customHeight="1">
      <c r="A116" s="175"/>
      <c r="B116" s="175"/>
      <c r="C116" s="175"/>
      <c r="D116" s="175"/>
      <c r="E116" s="175"/>
      <c r="F116" s="175"/>
      <c r="G116" s="175"/>
      <c r="H116" s="175"/>
      <c r="I116" s="175"/>
      <c r="J116" s="175"/>
      <c r="K116" s="175"/>
      <c r="L116" s="175"/>
      <c r="M116" s="175"/>
      <c r="N116" s="175"/>
      <c r="O116" s="175"/>
      <c r="P116" s="175"/>
      <c r="Q116" s="175"/>
      <c r="R116" s="175"/>
      <c r="S116" s="175"/>
    </row>
    <row r="117" spans="1:19" ht="14.25" customHeight="1">
      <c r="A117" s="175"/>
      <c r="B117" s="175"/>
      <c r="C117" s="175"/>
      <c r="D117" s="175"/>
      <c r="E117" s="175"/>
      <c r="F117" s="175"/>
      <c r="G117" s="175"/>
      <c r="H117" s="175"/>
      <c r="I117" s="175"/>
      <c r="J117" s="175"/>
      <c r="K117" s="175"/>
      <c r="L117" s="175"/>
      <c r="M117" s="175"/>
      <c r="N117" s="175"/>
      <c r="O117" s="175"/>
      <c r="P117" s="175"/>
      <c r="Q117" s="175"/>
      <c r="R117" s="175"/>
      <c r="S117" s="175"/>
    </row>
    <row r="118" spans="1:19" ht="14.25" customHeight="1">
      <c r="A118" s="175"/>
      <c r="B118" s="175"/>
      <c r="C118" s="175"/>
      <c r="D118" s="175"/>
      <c r="E118" s="175"/>
      <c r="F118" s="175"/>
      <c r="G118" s="175"/>
      <c r="H118" s="175"/>
      <c r="I118" s="175"/>
      <c r="J118" s="175"/>
      <c r="K118" s="175"/>
      <c r="L118" s="175"/>
      <c r="M118" s="175"/>
      <c r="N118" s="175"/>
      <c r="O118" s="175"/>
      <c r="P118" s="175"/>
      <c r="Q118" s="175"/>
      <c r="R118" s="175"/>
      <c r="S118" s="175"/>
    </row>
    <row r="119" spans="1:19" ht="14.25" customHeight="1">
      <c r="A119" s="175"/>
      <c r="B119" s="175"/>
      <c r="C119" s="175"/>
      <c r="D119" s="175"/>
      <c r="E119" s="175"/>
      <c r="F119" s="175"/>
      <c r="G119" s="175"/>
      <c r="H119" s="175"/>
      <c r="I119" s="175"/>
      <c r="J119" s="175"/>
      <c r="K119" s="175"/>
      <c r="L119" s="175"/>
      <c r="M119" s="175"/>
      <c r="N119" s="175"/>
      <c r="O119" s="175"/>
      <c r="P119" s="175"/>
      <c r="Q119" s="175"/>
      <c r="R119" s="175"/>
      <c r="S119" s="175"/>
    </row>
    <row r="120" spans="1:19" ht="14.25" customHeight="1">
      <c r="A120" s="175"/>
      <c r="B120" s="175"/>
      <c r="C120" s="175"/>
      <c r="D120" s="175"/>
      <c r="E120" s="175"/>
      <c r="F120" s="175"/>
      <c r="G120" s="175"/>
      <c r="H120" s="175"/>
      <c r="I120" s="175"/>
      <c r="J120" s="175"/>
      <c r="K120" s="175"/>
      <c r="L120" s="175"/>
      <c r="M120" s="175"/>
      <c r="N120" s="175"/>
      <c r="O120" s="175"/>
      <c r="P120" s="175"/>
      <c r="Q120" s="175"/>
      <c r="R120" s="175"/>
      <c r="S120" s="175"/>
    </row>
    <row r="121" spans="1:19" ht="14.25" customHeight="1">
      <c r="A121" s="175"/>
      <c r="B121" s="175"/>
      <c r="C121" s="175"/>
      <c r="D121" s="175"/>
      <c r="E121" s="175"/>
      <c r="F121" s="175"/>
      <c r="G121" s="175"/>
      <c r="H121" s="175"/>
      <c r="I121" s="175"/>
      <c r="J121" s="175"/>
      <c r="K121" s="175"/>
      <c r="L121" s="175"/>
      <c r="M121" s="175"/>
      <c r="N121" s="175"/>
      <c r="O121" s="175"/>
      <c r="P121" s="175"/>
      <c r="Q121" s="175"/>
      <c r="R121" s="175"/>
      <c r="S121" s="175"/>
    </row>
    <row r="122" spans="1:19" ht="14.25" customHeight="1">
      <c r="A122" s="175"/>
      <c r="B122" s="175"/>
      <c r="C122" s="175"/>
      <c r="D122" s="175"/>
      <c r="E122" s="175"/>
      <c r="F122" s="175"/>
      <c r="G122" s="175"/>
      <c r="H122" s="175"/>
      <c r="I122" s="175"/>
      <c r="J122" s="175"/>
      <c r="K122" s="175"/>
      <c r="L122" s="175"/>
      <c r="M122" s="175"/>
      <c r="N122" s="175"/>
      <c r="O122" s="175"/>
      <c r="P122" s="175"/>
      <c r="Q122" s="175"/>
      <c r="R122" s="175"/>
      <c r="S122" s="175"/>
    </row>
    <row r="123" spans="1:19" ht="14.25" customHeight="1">
      <c r="A123" s="175"/>
      <c r="B123" s="175"/>
      <c r="C123" s="175"/>
      <c r="D123" s="175"/>
      <c r="E123" s="175"/>
      <c r="F123" s="175"/>
      <c r="G123" s="175"/>
      <c r="H123" s="175"/>
      <c r="I123" s="175"/>
      <c r="J123" s="175"/>
      <c r="K123" s="175"/>
      <c r="L123" s="175"/>
      <c r="M123" s="175"/>
      <c r="N123" s="175"/>
      <c r="O123" s="175"/>
      <c r="P123" s="175"/>
      <c r="Q123" s="175"/>
      <c r="R123" s="175"/>
      <c r="S123" s="175"/>
    </row>
    <row r="124" spans="1:19" ht="14.25" customHeight="1">
      <c r="A124" s="175"/>
      <c r="B124" s="175"/>
      <c r="C124" s="175"/>
      <c r="D124" s="175"/>
      <c r="E124" s="175"/>
      <c r="F124" s="175"/>
      <c r="G124" s="175"/>
      <c r="H124" s="175"/>
      <c r="I124" s="175"/>
      <c r="J124" s="175"/>
      <c r="K124" s="175"/>
      <c r="L124" s="175"/>
      <c r="M124" s="175"/>
      <c r="N124" s="175"/>
      <c r="O124" s="175"/>
      <c r="P124" s="175"/>
      <c r="Q124" s="175"/>
      <c r="R124" s="175"/>
      <c r="S124" s="175"/>
    </row>
    <row r="125" spans="1:19" ht="14.25" customHeight="1">
      <c r="A125" s="175"/>
      <c r="B125" s="175"/>
      <c r="C125" s="175"/>
      <c r="D125" s="175"/>
      <c r="E125" s="175"/>
      <c r="F125" s="175"/>
      <c r="G125" s="175"/>
      <c r="H125" s="175"/>
      <c r="I125" s="175"/>
      <c r="J125" s="175"/>
      <c r="K125" s="175"/>
      <c r="L125" s="175"/>
      <c r="M125" s="175"/>
      <c r="N125" s="175"/>
      <c r="O125" s="175"/>
      <c r="P125" s="175"/>
      <c r="Q125" s="175"/>
      <c r="R125" s="175"/>
      <c r="S125" s="175"/>
    </row>
    <row r="126" spans="1:19" ht="14.25" customHeight="1">
      <c r="A126" s="175"/>
      <c r="B126" s="175"/>
      <c r="C126" s="175"/>
      <c r="D126" s="175"/>
      <c r="E126" s="175"/>
      <c r="F126" s="175"/>
      <c r="G126" s="175"/>
      <c r="H126" s="175"/>
      <c r="I126" s="175"/>
      <c r="J126" s="175"/>
      <c r="K126" s="175"/>
      <c r="L126" s="175"/>
      <c r="M126" s="175"/>
      <c r="N126" s="175"/>
      <c r="O126" s="175"/>
      <c r="P126" s="175"/>
      <c r="Q126" s="175"/>
      <c r="R126" s="175"/>
      <c r="S126" s="175"/>
    </row>
    <row r="127" spans="1:19" ht="14.25" customHeight="1">
      <c r="A127" s="175"/>
      <c r="B127" s="175"/>
      <c r="C127" s="175"/>
      <c r="D127" s="175"/>
      <c r="E127" s="175"/>
      <c r="F127" s="175"/>
      <c r="G127" s="175"/>
      <c r="H127" s="175"/>
      <c r="I127" s="175"/>
      <c r="J127" s="175"/>
      <c r="K127" s="175"/>
      <c r="L127" s="175"/>
      <c r="M127" s="175"/>
      <c r="N127" s="175"/>
      <c r="O127" s="175"/>
      <c r="P127" s="175"/>
      <c r="Q127" s="175"/>
      <c r="R127" s="175"/>
      <c r="S127" s="175"/>
    </row>
    <row r="128" spans="1:19" ht="14.25" customHeight="1">
      <c r="A128" s="175"/>
      <c r="B128" s="175"/>
      <c r="C128" s="175"/>
      <c r="D128" s="175"/>
      <c r="E128" s="175"/>
      <c r="F128" s="175"/>
      <c r="G128" s="175"/>
      <c r="H128" s="175"/>
      <c r="I128" s="175"/>
      <c r="J128" s="175"/>
      <c r="K128" s="175"/>
      <c r="L128" s="175"/>
      <c r="M128" s="175"/>
      <c r="N128" s="175"/>
      <c r="O128" s="175"/>
      <c r="P128" s="175"/>
      <c r="Q128" s="175"/>
      <c r="R128" s="175"/>
      <c r="S128" s="175"/>
    </row>
    <row r="129" spans="1:19" ht="14.25" customHeight="1">
      <c r="A129" s="175"/>
      <c r="B129" s="175"/>
      <c r="C129" s="175"/>
      <c r="D129" s="175"/>
      <c r="E129" s="175"/>
      <c r="F129" s="175"/>
      <c r="G129" s="175"/>
      <c r="H129" s="175"/>
      <c r="I129" s="175"/>
      <c r="J129" s="175"/>
      <c r="K129" s="175"/>
      <c r="L129" s="175"/>
      <c r="M129" s="175"/>
      <c r="N129" s="175"/>
      <c r="O129" s="175"/>
      <c r="P129" s="175"/>
      <c r="Q129" s="175"/>
      <c r="R129" s="175"/>
      <c r="S129" s="175"/>
    </row>
    <row r="130" spans="1:19" ht="14.25" customHeight="1">
      <c r="A130" s="175"/>
      <c r="B130" s="175"/>
      <c r="C130" s="175"/>
      <c r="D130" s="175"/>
      <c r="E130" s="175"/>
      <c r="F130" s="175"/>
      <c r="G130" s="175"/>
      <c r="H130" s="175"/>
      <c r="I130" s="175"/>
      <c r="J130" s="175"/>
      <c r="K130" s="175"/>
      <c r="L130" s="175"/>
      <c r="M130" s="175"/>
      <c r="N130" s="175"/>
      <c r="O130" s="175"/>
      <c r="P130" s="175"/>
      <c r="Q130" s="175"/>
      <c r="R130" s="175"/>
      <c r="S130" s="175"/>
    </row>
    <row r="131" spans="1:19" ht="14.25" customHeight="1">
      <c r="A131" s="175"/>
      <c r="B131" s="175"/>
      <c r="C131" s="175"/>
      <c r="D131" s="175"/>
      <c r="E131" s="175"/>
      <c r="F131" s="175"/>
      <c r="G131" s="175"/>
      <c r="H131" s="175"/>
      <c r="I131" s="175"/>
      <c r="J131" s="175"/>
      <c r="K131" s="175"/>
      <c r="L131" s="175"/>
      <c r="M131" s="175"/>
      <c r="N131" s="175"/>
      <c r="O131" s="175"/>
      <c r="P131" s="175"/>
      <c r="Q131" s="175"/>
      <c r="R131" s="175"/>
      <c r="S131" s="175"/>
    </row>
    <row r="132" spans="1:19" ht="14.25" customHeight="1">
      <c r="A132" s="175"/>
      <c r="B132" s="175"/>
      <c r="C132" s="175"/>
      <c r="D132" s="175"/>
      <c r="E132" s="175"/>
      <c r="F132" s="175"/>
      <c r="G132" s="175"/>
      <c r="H132" s="175"/>
      <c r="I132" s="175"/>
      <c r="J132" s="175"/>
      <c r="K132" s="175"/>
      <c r="L132" s="175"/>
      <c r="M132" s="175"/>
      <c r="N132" s="175"/>
      <c r="O132" s="175"/>
      <c r="P132" s="175"/>
      <c r="Q132" s="175"/>
      <c r="R132" s="175"/>
      <c r="S132" s="175"/>
    </row>
    <row r="133" spans="1:19" ht="14.25" customHeight="1">
      <c r="A133" s="175"/>
      <c r="B133" s="175"/>
      <c r="C133" s="175"/>
      <c r="D133" s="175"/>
      <c r="E133" s="175"/>
      <c r="F133" s="175"/>
      <c r="G133" s="175"/>
      <c r="H133" s="175"/>
      <c r="I133" s="175"/>
      <c r="J133" s="175"/>
      <c r="K133" s="175"/>
      <c r="L133" s="175"/>
      <c r="M133" s="175"/>
      <c r="N133" s="175"/>
      <c r="O133" s="175"/>
      <c r="P133" s="175"/>
      <c r="Q133" s="175"/>
      <c r="R133" s="175"/>
      <c r="S133" s="175"/>
    </row>
    <row r="134" spans="1:19" ht="14.25" customHeight="1">
      <c r="A134" s="175"/>
      <c r="B134" s="175"/>
      <c r="C134" s="175"/>
      <c r="D134" s="175"/>
      <c r="E134" s="175"/>
      <c r="F134" s="175"/>
      <c r="G134" s="175"/>
      <c r="H134" s="175"/>
      <c r="I134" s="175"/>
      <c r="J134" s="175"/>
      <c r="K134" s="175"/>
      <c r="L134" s="175"/>
      <c r="M134" s="175"/>
      <c r="N134" s="175"/>
      <c r="O134" s="175"/>
      <c r="P134" s="175"/>
      <c r="Q134" s="175"/>
      <c r="R134" s="175"/>
      <c r="S134" s="175"/>
    </row>
    <row r="135" spans="1:19" ht="14.25" customHeight="1">
      <c r="A135" s="175"/>
      <c r="B135" s="175"/>
      <c r="C135" s="175"/>
      <c r="D135" s="175"/>
      <c r="E135" s="175"/>
      <c r="F135" s="175"/>
      <c r="G135" s="175"/>
      <c r="H135" s="175"/>
      <c r="I135" s="175"/>
      <c r="J135" s="175"/>
      <c r="K135" s="175"/>
      <c r="L135" s="175"/>
      <c r="M135" s="175"/>
      <c r="N135" s="175"/>
      <c r="O135" s="175"/>
      <c r="P135" s="175"/>
      <c r="Q135" s="175"/>
      <c r="R135" s="175"/>
      <c r="S135" s="175"/>
    </row>
    <row r="136" spans="1:19" ht="14.25" customHeight="1">
      <c r="A136" s="175"/>
      <c r="B136" s="175"/>
      <c r="C136" s="175"/>
      <c r="D136" s="175"/>
      <c r="E136" s="175"/>
      <c r="F136" s="175"/>
      <c r="G136" s="175"/>
      <c r="H136" s="175"/>
      <c r="I136" s="175"/>
      <c r="J136" s="175"/>
      <c r="K136" s="175"/>
      <c r="L136" s="175"/>
      <c r="M136" s="175"/>
      <c r="N136" s="175"/>
      <c r="O136" s="175"/>
      <c r="P136" s="175"/>
      <c r="Q136" s="175"/>
      <c r="R136" s="175"/>
      <c r="S136" s="175"/>
    </row>
    <row r="137" spans="1:19" ht="14.25" customHeight="1">
      <c r="A137" s="175"/>
      <c r="B137" s="175"/>
      <c r="C137" s="175"/>
      <c r="D137" s="175"/>
      <c r="E137" s="175"/>
      <c r="F137" s="175"/>
      <c r="G137" s="175"/>
      <c r="H137" s="175"/>
      <c r="I137" s="175"/>
      <c r="J137" s="175"/>
      <c r="K137" s="175"/>
      <c r="L137" s="175"/>
      <c r="M137" s="175"/>
      <c r="N137" s="175"/>
      <c r="O137" s="175"/>
      <c r="P137" s="175"/>
      <c r="Q137" s="175"/>
      <c r="R137" s="175"/>
      <c r="S137" s="175"/>
    </row>
    <row r="138" spans="1:19" ht="14.25" customHeight="1">
      <c r="A138" s="175"/>
      <c r="B138" s="175"/>
      <c r="C138" s="175"/>
      <c r="D138" s="175"/>
      <c r="E138" s="175"/>
      <c r="F138" s="175"/>
      <c r="G138" s="175"/>
      <c r="H138" s="175"/>
      <c r="I138" s="175"/>
      <c r="J138" s="175"/>
      <c r="K138" s="175"/>
      <c r="L138" s="175"/>
      <c r="M138" s="175"/>
      <c r="N138" s="175"/>
      <c r="O138" s="175"/>
      <c r="P138" s="175"/>
      <c r="Q138" s="175"/>
      <c r="R138" s="175"/>
      <c r="S138" s="175"/>
    </row>
    <row r="139" spans="1:19" ht="14.25" customHeight="1">
      <c r="A139" s="175"/>
      <c r="B139" s="175"/>
      <c r="C139" s="175"/>
      <c r="D139" s="175"/>
      <c r="E139" s="175"/>
      <c r="F139" s="175"/>
      <c r="G139" s="175"/>
      <c r="H139" s="175"/>
      <c r="I139" s="175"/>
      <c r="J139" s="175"/>
      <c r="K139" s="175"/>
      <c r="L139" s="175"/>
      <c r="M139" s="175"/>
      <c r="N139" s="175"/>
      <c r="O139" s="175"/>
      <c r="P139" s="175"/>
      <c r="Q139" s="175"/>
      <c r="R139" s="175"/>
      <c r="S139" s="175"/>
    </row>
    <row r="140" spans="1:19" ht="14.25" customHeight="1">
      <c r="A140" s="175"/>
      <c r="B140" s="175"/>
      <c r="C140" s="175"/>
      <c r="D140" s="175"/>
      <c r="E140" s="175"/>
      <c r="F140" s="175"/>
      <c r="G140" s="175"/>
      <c r="H140" s="175"/>
      <c r="I140" s="175"/>
      <c r="J140" s="175"/>
      <c r="K140" s="175"/>
      <c r="L140" s="175"/>
      <c r="M140" s="175"/>
      <c r="N140" s="175"/>
      <c r="O140" s="175"/>
      <c r="P140" s="175"/>
      <c r="Q140" s="175"/>
      <c r="R140" s="175"/>
      <c r="S140" s="175"/>
    </row>
    <row r="141" spans="1:19" ht="14.25" customHeight="1">
      <c r="A141" s="175"/>
      <c r="B141" s="175"/>
      <c r="C141" s="175"/>
      <c r="D141" s="175"/>
      <c r="E141" s="175"/>
      <c r="F141" s="175"/>
      <c r="G141" s="175"/>
      <c r="H141" s="175"/>
      <c r="I141" s="175"/>
      <c r="J141" s="175"/>
      <c r="K141" s="175"/>
      <c r="L141" s="175"/>
      <c r="M141" s="175"/>
      <c r="N141" s="175"/>
      <c r="O141" s="175"/>
      <c r="P141" s="175"/>
      <c r="Q141" s="175"/>
      <c r="R141" s="175"/>
      <c r="S141" s="175"/>
    </row>
    <row r="142" spans="1:19" ht="14.25" customHeight="1">
      <c r="A142" s="175"/>
      <c r="B142" s="175"/>
      <c r="C142" s="175"/>
      <c r="D142" s="175"/>
      <c r="E142" s="175"/>
      <c r="F142" s="175"/>
      <c r="G142" s="175"/>
      <c r="H142" s="175"/>
      <c r="I142" s="175"/>
      <c r="J142" s="175"/>
      <c r="K142" s="175"/>
      <c r="L142" s="175"/>
      <c r="M142" s="175"/>
      <c r="N142" s="175"/>
      <c r="O142" s="175"/>
      <c r="P142" s="175"/>
      <c r="Q142" s="175"/>
      <c r="R142" s="175"/>
      <c r="S142" s="175"/>
    </row>
    <row r="143" spans="1:19" ht="14.25" customHeight="1">
      <c r="A143" s="175"/>
      <c r="B143" s="175"/>
      <c r="C143" s="175"/>
      <c r="D143" s="175"/>
      <c r="E143" s="175"/>
      <c r="F143" s="175"/>
      <c r="G143" s="175"/>
      <c r="H143" s="175"/>
      <c r="I143" s="175"/>
      <c r="J143" s="175"/>
      <c r="K143" s="175"/>
      <c r="L143" s="175"/>
      <c r="M143" s="175"/>
      <c r="N143" s="175"/>
      <c r="O143" s="175"/>
      <c r="P143" s="175"/>
      <c r="Q143" s="175"/>
      <c r="R143" s="175"/>
      <c r="S143" s="175"/>
    </row>
    <row r="144" spans="1:19" ht="14.25" customHeight="1">
      <c r="A144" s="175"/>
      <c r="B144" s="175"/>
      <c r="C144" s="175"/>
      <c r="D144" s="175"/>
      <c r="E144" s="175"/>
      <c r="F144" s="175"/>
      <c r="G144" s="175"/>
      <c r="H144" s="175"/>
      <c r="I144" s="175"/>
      <c r="J144" s="175"/>
      <c r="K144" s="175"/>
      <c r="L144" s="175"/>
      <c r="M144" s="175"/>
      <c r="N144" s="175"/>
      <c r="O144" s="175"/>
      <c r="P144" s="175"/>
      <c r="Q144" s="175"/>
      <c r="R144" s="175"/>
      <c r="S144" s="175"/>
    </row>
    <row r="145" spans="1:19" ht="14.25" customHeight="1">
      <c r="A145" s="175"/>
      <c r="B145" s="175"/>
      <c r="C145" s="175"/>
      <c r="D145" s="175"/>
      <c r="E145" s="175"/>
      <c r="F145" s="175"/>
      <c r="G145" s="175"/>
      <c r="H145" s="175"/>
      <c r="I145" s="175"/>
      <c r="J145" s="175"/>
      <c r="K145" s="175"/>
      <c r="L145" s="175"/>
      <c r="M145" s="175"/>
      <c r="N145" s="175"/>
      <c r="O145" s="175"/>
      <c r="P145" s="175"/>
      <c r="Q145" s="175"/>
      <c r="R145" s="175"/>
      <c r="S145" s="175"/>
    </row>
    <row r="146" spans="1:19" ht="14.25" customHeight="1">
      <c r="A146" s="175"/>
      <c r="B146" s="175"/>
      <c r="C146" s="175"/>
      <c r="D146" s="175"/>
      <c r="E146" s="175"/>
      <c r="F146" s="175"/>
      <c r="G146" s="175"/>
      <c r="H146" s="175"/>
      <c r="I146" s="175"/>
      <c r="J146" s="175"/>
      <c r="K146" s="175"/>
      <c r="L146" s="175"/>
      <c r="M146" s="175"/>
      <c r="N146" s="175"/>
      <c r="O146" s="175"/>
      <c r="P146" s="175"/>
      <c r="Q146" s="175"/>
      <c r="R146" s="175"/>
      <c r="S146" s="175"/>
    </row>
    <row r="147" spans="1:19" ht="14.25" customHeight="1">
      <c r="A147" s="175"/>
      <c r="B147" s="175"/>
      <c r="C147" s="175"/>
      <c r="D147" s="175"/>
      <c r="E147" s="175"/>
      <c r="F147" s="175"/>
      <c r="G147" s="175"/>
      <c r="H147" s="175"/>
      <c r="I147" s="175"/>
      <c r="J147" s="175"/>
      <c r="K147" s="175"/>
      <c r="L147" s="175"/>
      <c r="M147" s="175"/>
      <c r="N147" s="175"/>
      <c r="O147" s="175"/>
      <c r="P147" s="175"/>
      <c r="Q147" s="175"/>
      <c r="R147" s="175"/>
      <c r="S147" s="175"/>
    </row>
    <row r="148" spans="1:19" ht="14.25" customHeight="1">
      <c r="A148" s="175"/>
      <c r="B148" s="175"/>
      <c r="C148" s="175"/>
      <c r="D148" s="175"/>
      <c r="E148" s="175"/>
      <c r="F148" s="175"/>
      <c r="G148" s="175"/>
      <c r="H148" s="175"/>
      <c r="I148" s="175"/>
      <c r="J148" s="175"/>
      <c r="K148" s="175"/>
      <c r="L148" s="175"/>
      <c r="M148" s="175"/>
      <c r="N148" s="175"/>
      <c r="O148" s="175"/>
      <c r="P148" s="175"/>
      <c r="Q148" s="175"/>
      <c r="R148" s="175"/>
      <c r="S148" s="175"/>
    </row>
    <row r="149" spans="1:19" ht="14.25" customHeight="1">
      <c r="A149" s="175"/>
      <c r="B149" s="175"/>
      <c r="C149" s="175"/>
      <c r="D149" s="175"/>
      <c r="E149" s="175"/>
      <c r="F149" s="175"/>
      <c r="G149" s="175"/>
      <c r="H149" s="175"/>
      <c r="I149" s="175"/>
      <c r="J149" s="175"/>
      <c r="K149" s="175"/>
      <c r="L149" s="175"/>
      <c r="M149" s="175"/>
      <c r="N149" s="175"/>
      <c r="O149" s="175"/>
      <c r="P149" s="175"/>
      <c r="Q149" s="175"/>
      <c r="R149" s="175"/>
      <c r="S149" s="175"/>
    </row>
    <row r="150" spans="1:19" ht="14.25" customHeight="1">
      <c r="A150" s="175"/>
      <c r="B150" s="175"/>
      <c r="C150" s="175"/>
      <c r="D150" s="175"/>
      <c r="E150" s="175"/>
      <c r="F150" s="175"/>
      <c r="G150" s="175"/>
      <c r="H150" s="175"/>
      <c r="I150" s="175"/>
      <c r="J150" s="175"/>
      <c r="K150" s="175"/>
      <c r="L150" s="175"/>
      <c r="M150" s="175"/>
      <c r="N150" s="175"/>
      <c r="O150" s="175"/>
      <c r="P150" s="175"/>
      <c r="Q150" s="175"/>
      <c r="R150" s="175"/>
      <c r="S150" s="175"/>
    </row>
    <row r="151" spans="1:19" ht="14.25" customHeight="1">
      <c r="A151" s="175"/>
      <c r="B151" s="175"/>
      <c r="C151" s="175"/>
      <c r="D151" s="175"/>
      <c r="E151" s="175"/>
      <c r="F151" s="175"/>
      <c r="G151" s="175"/>
      <c r="H151" s="175"/>
      <c r="I151" s="175"/>
      <c r="J151" s="175"/>
      <c r="K151" s="175"/>
      <c r="L151" s="175"/>
      <c r="M151" s="175"/>
      <c r="N151" s="175"/>
      <c r="O151" s="175"/>
      <c r="P151" s="175"/>
      <c r="Q151" s="175"/>
      <c r="R151" s="175"/>
      <c r="S151" s="175"/>
    </row>
    <row r="152" spans="1:19" ht="14.25" customHeight="1">
      <c r="A152" s="175"/>
      <c r="B152" s="175"/>
      <c r="C152" s="175"/>
      <c r="D152" s="175"/>
      <c r="E152" s="175"/>
      <c r="F152" s="175"/>
      <c r="G152" s="175"/>
      <c r="H152" s="175"/>
      <c r="I152" s="175"/>
      <c r="J152" s="175"/>
      <c r="K152" s="175"/>
      <c r="L152" s="175"/>
      <c r="M152" s="175"/>
      <c r="N152" s="175"/>
      <c r="O152" s="175"/>
      <c r="P152" s="175"/>
      <c r="Q152" s="175"/>
      <c r="R152" s="175"/>
      <c r="S152" s="175"/>
    </row>
    <row r="153" spans="1:19" ht="14.25" customHeight="1">
      <c r="A153" s="175"/>
      <c r="B153" s="175"/>
      <c r="C153" s="175"/>
      <c r="D153" s="175"/>
      <c r="E153" s="175"/>
      <c r="F153" s="175"/>
      <c r="G153" s="175"/>
      <c r="H153" s="175"/>
      <c r="I153" s="175"/>
      <c r="J153" s="175"/>
      <c r="K153" s="175"/>
      <c r="L153" s="175"/>
      <c r="M153" s="175"/>
      <c r="N153" s="175"/>
      <c r="O153" s="175"/>
      <c r="P153" s="175"/>
      <c r="Q153" s="175"/>
      <c r="R153" s="175"/>
      <c r="S153" s="175"/>
    </row>
    <row r="154" spans="1:19" ht="14.25" customHeight="1">
      <c r="A154" s="175"/>
      <c r="B154" s="175"/>
      <c r="C154" s="175"/>
      <c r="D154" s="175"/>
      <c r="E154" s="175"/>
      <c r="F154" s="175"/>
      <c r="G154" s="175"/>
      <c r="H154" s="175"/>
      <c r="I154" s="175"/>
      <c r="J154" s="175"/>
      <c r="K154" s="175"/>
      <c r="L154" s="175"/>
      <c r="M154" s="175"/>
      <c r="N154" s="175"/>
      <c r="O154" s="175"/>
      <c r="P154" s="175"/>
      <c r="Q154" s="175"/>
      <c r="R154" s="175"/>
      <c r="S154" s="175"/>
    </row>
    <row r="155" spans="1:19" ht="14.25" customHeight="1">
      <c r="A155" s="175"/>
      <c r="B155" s="175"/>
      <c r="C155" s="175"/>
      <c r="D155" s="175"/>
      <c r="E155" s="175"/>
      <c r="F155" s="175"/>
      <c r="G155" s="175"/>
      <c r="H155" s="175"/>
      <c r="I155" s="175"/>
      <c r="J155" s="175"/>
      <c r="K155" s="175"/>
      <c r="L155" s="175"/>
      <c r="M155" s="175"/>
      <c r="N155" s="175"/>
      <c r="O155" s="175"/>
      <c r="P155" s="175"/>
      <c r="Q155" s="175"/>
      <c r="R155" s="175"/>
      <c r="S155" s="175"/>
    </row>
    <row r="156" spans="1:19" ht="14.25" customHeight="1">
      <c r="A156" s="175"/>
      <c r="B156" s="175"/>
      <c r="C156" s="175"/>
      <c r="D156" s="175"/>
      <c r="E156" s="175"/>
      <c r="F156" s="175"/>
      <c r="G156" s="175"/>
      <c r="H156" s="175"/>
      <c r="I156" s="175"/>
      <c r="J156" s="175"/>
      <c r="K156" s="175"/>
      <c r="L156" s="175"/>
      <c r="M156" s="175"/>
      <c r="N156" s="175"/>
      <c r="O156" s="175"/>
      <c r="P156" s="175"/>
      <c r="Q156" s="175"/>
      <c r="R156" s="175"/>
      <c r="S156" s="175"/>
    </row>
    <row r="157" spans="1:19" ht="14.25" customHeight="1">
      <c r="A157" s="175"/>
      <c r="B157" s="175"/>
      <c r="C157" s="175"/>
      <c r="D157" s="175"/>
      <c r="E157" s="175"/>
      <c r="F157" s="175"/>
      <c r="G157" s="175"/>
      <c r="H157" s="175"/>
      <c r="I157" s="175"/>
      <c r="J157" s="175"/>
      <c r="K157" s="175"/>
      <c r="L157" s="175"/>
      <c r="M157" s="175"/>
      <c r="N157" s="175"/>
      <c r="O157" s="175"/>
      <c r="P157" s="175"/>
      <c r="Q157" s="175"/>
      <c r="R157" s="175"/>
      <c r="S157" s="175"/>
    </row>
    <row r="158" spans="1:19" ht="14.25" customHeight="1">
      <c r="A158" s="175"/>
      <c r="B158" s="175"/>
      <c r="C158" s="175"/>
      <c r="D158" s="175"/>
      <c r="E158" s="175"/>
      <c r="F158" s="175"/>
      <c r="G158" s="175"/>
      <c r="H158" s="175"/>
      <c r="I158" s="175"/>
      <c r="J158" s="175"/>
      <c r="K158" s="175"/>
      <c r="L158" s="175"/>
      <c r="M158" s="175"/>
      <c r="N158" s="175"/>
      <c r="O158" s="175"/>
      <c r="P158" s="175"/>
      <c r="Q158" s="175"/>
      <c r="R158" s="175"/>
      <c r="S158" s="175"/>
    </row>
    <row r="159" spans="1:19" ht="14.25" customHeight="1">
      <c r="A159" s="175"/>
      <c r="B159" s="175"/>
      <c r="C159" s="175"/>
      <c r="D159" s="175"/>
      <c r="E159" s="175"/>
      <c r="F159" s="175"/>
      <c r="G159" s="175"/>
      <c r="H159" s="175"/>
      <c r="I159" s="175"/>
      <c r="J159" s="175"/>
      <c r="K159" s="175"/>
      <c r="L159" s="175"/>
      <c r="M159" s="175"/>
      <c r="N159" s="175"/>
      <c r="O159" s="175"/>
      <c r="P159" s="175"/>
      <c r="Q159" s="175"/>
      <c r="R159" s="175"/>
      <c r="S159" s="175"/>
    </row>
    <row r="160" spans="1:19" ht="14.25" customHeight="1">
      <c r="A160" s="175"/>
      <c r="B160" s="175"/>
      <c r="C160" s="175"/>
      <c r="D160" s="175"/>
      <c r="E160" s="175"/>
      <c r="F160" s="175"/>
      <c r="G160" s="175"/>
      <c r="H160" s="175"/>
      <c r="I160" s="175"/>
      <c r="J160" s="175"/>
      <c r="K160" s="175"/>
      <c r="L160" s="175"/>
      <c r="M160" s="175"/>
      <c r="N160" s="175"/>
      <c r="O160" s="175"/>
      <c r="P160" s="175"/>
      <c r="Q160" s="175"/>
      <c r="R160" s="175"/>
      <c r="S160" s="175"/>
    </row>
    <row r="161" spans="1:19" ht="14.25" customHeight="1">
      <c r="A161" s="175"/>
      <c r="B161" s="175"/>
      <c r="C161" s="175"/>
      <c r="D161" s="175"/>
      <c r="E161" s="175"/>
      <c r="F161" s="175"/>
      <c r="G161" s="175"/>
      <c r="H161" s="175"/>
      <c r="I161" s="175"/>
      <c r="J161" s="175"/>
      <c r="K161" s="175"/>
      <c r="L161" s="175"/>
      <c r="M161" s="175"/>
      <c r="N161" s="175"/>
      <c r="O161" s="175"/>
      <c r="P161" s="175"/>
      <c r="Q161" s="175"/>
      <c r="R161" s="175"/>
      <c r="S161" s="175"/>
    </row>
    <row r="162" spans="1:19" ht="14.25" customHeight="1">
      <c r="A162" s="175"/>
      <c r="B162" s="175"/>
      <c r="C162" s="175"/>
      <c r="D162" s="175"/>
      <c r="E162" s="175"/>
      <c r="F162" s="175"/>
      <c r="G162" s="175"/>
      <c r="H162" s="175"/>
      <c r="I162" s="175"/>
      <c r="J162" s="175"/>
      <c r="K162" s="175"/>
      <c r="L162" s="175"/>
      <c r="M162" s="175"/>
      <c r="N162" s="175"/>
      <c r="O162" s="175"/>
      <c r="P162" s="175"/>
      <c r="Q162" s="175"/>
      <c r="R162" s="175"/>
      <c r="S162" s="175"/>
    </row>
    <row r="163" spans="1:19" ht="14.25" customHeight="1">
      <c r="A163" s="175"/>
      <c r="B163" s="175"/>
      <c r="C163" s="175"/>
      <c r="D163" s="175"/>
      <c r="E163" s="175"/>
      <c r="F163" s="175"/>
      <c r="G163" s="175"/>
      <c r="H163" s="175"/>
      <c r="I163" s="175"/>
      <c r="J163" s="175"/>
      <c r="K163" s="175"/>
      <c r="L163" s="175"/>
      <c r="M163" s="175"/>
      <c r="N163" s="175"/>
      <c r="O163" s="175"/>
      <c r="P163" s="175"/>
      <c r="Q163" s="175"/>
      <c r="R163" s="175"/>
      <c r="S163" s="175"/>
    </row>
    <row r="164" spans="1:19" ht="14.25" customHeight="1">
      <c r="A164" s="175"/>
      <c r="B164" s="175"/>
      <c r="C164" s="175"/>
      <c r="D164" s="175"/>
      <c r="E164" s="175"/>
      <c r="F164" s="175"/>
      <c r="G164" s="175"/>
      <c r="H164" s="175"/>
      <c r="I164" s="175"/>
      <c r="J164" s="175"/>
      <c r="K164" s="175"/>
      <c r="L164" s="175"/>
      <c r="M164" s="175"/>
      <c r="N164" s="175"/>
      <c r="O164" s="175"/>
      <c r="P164" s="175"/>
      <c r="Q164" s="175"/>
      <c r="R164" s="175"/>
      <c r="S164" s="175"/>
    </row>
    <row r="165" spans="1:19" ht="14.25" customHeight="1">
      <c r="A165" s="175"/>
      <c r="B165" s="175"/>
      <c r="C165" s="175"/>
      <c r="D165" s="175"/>
      <c r="E165" s="175"/>
      <c r="F165" s="175"/>
      <c r="G165" s="175"/>
      <c r="H165" s="175"/>
      <c r="I165" s="175"/>
      <c r="J165" s="175"/>
      <c r="K165" s="175"/>
      <c r="L165" s="175"/>
      <c r="M165" s="175"/>
      <c r="N165" s="175"/>
      <c r="O165" s="175"/>
      <c r="P165" s="175"/>
      <c r="Q165" s="175"/>
      <c r="R165" s="175"/>
      <c r="S165" s="175"/>
    </row>
    <row r="166" spans="1:19" ht="14.25" customHeight="1">
      <c r="A166" s="175"/>
      <c r="B166" s="175"/>
      <c r="C166" s="175"/>
      <c r="D166" s="175"/>
      <c r="E166" s="175"/>
      <c r="F166" s="175"/>
      <c r="G166" s="175"/>
      <c r="H166" s="175"/>
      <c r="I166" s="175"/>
      <c r="J166" s="175"/>
      <c r="K166" s="175"/>
      <c r="L166" s="175"/>
      <c r="M166" s="175"/>
      <c r="N166" s="175"/>
      <c r="O166" s="175"/>
      <c r="P166" s="175"/>
      <c r="Q166" s="175"/>
      <c r="R166" s="175"/>
      <c r="S166" s="175"/>
    </row>
    <row r="167" spans="1:19" ht="14.25" customHeight="1">
      <c r="A167" s="175"/>
      <c r="B167" s="175"/>
      <c r="C167" s="175"/>
      <c r="D167" s="175"/>
      <c r="E167" s="175"/>
      <c r="F167" s="175"/>
      <c r="G167" s="175"/>
      <c r="H167" s="175"/>
      <c r="I167" s="175"/>
      <c r="J167" s="175"/>
      <c r="K167" s="175"/>
      <c r="L167" s="175"/>
      <c r="M167" s="175"/>
      <c r="N167" s="175"/>
      <c r="O167" s="175"/>
      <c r="P167" s="175"/>
      <c r="Q167" s="175"/>
      <c r="R167" s="175"/>
      <c r="S167" s="175"/>
    </row>
    <row r="168" spans="1:19" ht="14.25" customHeight="1">
      <c r="A168" s="175"/>
      <c r="B168" s="175"/>
      <c r="C168" s="175"/>
      <c r="D168" s="175"/>
      <c r="E168" s="175"/>
      <c r="F168" s="175"/>
      <c r="G168" s="175"/>
      <c r="H168" s="175"/>
      <c r="I168" s="175"/>
      <c r="J168" s="175"/>
      <c r="K168" s="175"/>
      <c r="L168" s="175"/>
      <c r="M168" s="175"/>
      <c r="N168" s="175"/>
      <c r="O168" s="175"/>
      <c r="P168" s="175"/>
      <c r="Q168" s="175"/>
      <c r="R168" s="175"/>
      <c r="S168" s="175"/>
    </row>
    <row r="169" spans="1:19" ht="14.25" customHeight="1">
      <c r="A169" s="175"/>
      <c r="B169" s="175"/>
      <c r="C169" s="175"/>
      <c r="D169" s="175"/>
      <c r="E169" s="175"/>
      <c r="F169" s="175"/>
      <c r="G169" s="175"/>
      <c r="H169" s="175"/>
      <c r="I169" s="175"/>
      <c r="J169" s="175"/>
      <c r="K169" s="175"/>
      <c r="L169" s="175"/>
      <c r="M169" s="175"/>
      <c r="N169" s="175"/>
      <c r="O169" s="175"/>
      <c r="P169" s="175"/>
      <c r="Q169" s="175"/>
      <c r="R169" s="175"/>
      <c r="S169" s="175"/>
    </row>
    <row r="170" spans="1:19" ht="14.25" customHeight="1">
      <c r="A170" s="175"/>
      <c r="B170" s="175"/>
      <c r="C170" s="175"/>
      <c r="D170" s="175"/>
      <c r="E170" s="175"/>
      <c r="F170" s="175"/>
      <c r="G170" s="175"/>
      <c r="H170" s="175"/>
      <c r="I170" s="175"/>
      <c r="J170" s="175"/>
      <c r="K170" s="175"/>
      <c r="L170" s="175"/>
      <c r="M170" s="175"/>
      <c r="N170" s="175"/>
      <c r="O170" s="175"/>
      <c r="P170" s="175"/>
      <c r="Q170" s="175"/>
      <c r="R170" s="175"/>
      <c r="S170" s="175"/>
    </row>
    <row r="171" spans="1:19" ht="14.25" customHeight="1">
      <c r="A171" s="175"/>
      <c r="B171" s="175"/>
      <c r="C171" s="175"/>
      <c r="D171" s="175"/>
      <c r="E171" s="175"/>
      <c r="F171" s="175"/>
      <c r="G171" s="175"/>
      <c r="H171" s="175"/>
      <c r="I171" s="175"/>
      <c r="J171" s="175"/>
      <c r="K171" s="175"/>
      <c r="L171" s="175"/>
      <c r="M171" s="175"/>
      <c r="N171" s="175"/>
      <c r="O171" s="175"/>
      <c r="P171" s="175"/>
      <c r="Q171" s="175"/>
      <c r="R171" s="175"/>
      <c r="S171" s="175"/>
    </row>
    <row r="172" spans="1:19" ht="14.25" customHeight="1">
      <c r="A172" s="175"/>
      <c r="B172" s="175"/>
      <c r="C172" s="175"/>
      <c r="D172" s="175"/>
      <c r="E172" s="175"/>
      <c r="F172" s="175"/>
      <c r="G172" s="175"/>
      <c r="H172" s="175"/>
      <c r="I172" s="175"/>
      <c r="J172" s="175"/>
      <c r="K172" s="175"/>
      <c r="L172" s="175"/>
      <c r="M172" s="175"/>
      <c r="N172" s="175"/>
      <c r="O172" s="175"/>
      <c r="P172" s="175"/>
      <c r="Q172" s="175"/>
      <c r="R172" s="175"/>
      <c r="S172" s="175"/>
    </row>
    <row r="173" spans="1:19" ht="14.25" customHeight="1">
      <c r="A173" s="175"/>
      <c r="B173" s="175"/>
      <c r="C173" s="175"/>
      <c r="D173" s="175"/>
      <c r="E173" s="175"/>
      <c r="F173" s="175"/>
      <c r="G173" s="175"/>
      <c r="H173" s="175"/>
      <c r="I173" s="175"/>
      <c r="J173" s="175"/>
      <c r="K173" s="175"/>
      <c r="L173" s="175"/>
      <c r="M173" s="175"/>
      <c r="N173" s="175"/>
      <c r="O173" s="175"/>
      <c r="P173" s="175"/>
      <c r="Q173" s="175"/>
      <c r="R173" s="175"/>
      <c r="S173" s="175"/>
    </row>
    <row r="174" spans="1:19" ht="14.25" customHeight="1">
      <c r="A174" s="175"/>
      <c r="B174" s="175"/>
      <c r="C174" s="175"/>
      <c r="D174" s="175"/>
      <c r="E174" s="175"/>
      <c r="F174" s="175"/>
      <c r="G174" s="175"/>
      <c r="H174" s="175"/>
      <c r="I174" s="175"/>
      <c r="J174" s="175"/>
      <c r="K174" s="175"/>
      <c r="L174" s="175"/>
      <c r="M174" s="175"/>
      <c r="N174" s="175"/>
      <c r="O174" s="175"/>
      <c r="P174" s="175"/>
      <c r="Q174" s="175"/>
      <c r="R174" s="175"/>
      <c r="S174" s="175"/>
    </row>
    <row r="175" spans="1:19" ht="14.25" customHeight="1">
      <c r="A175" s="175"/>
      <c r="B175" s="175"/>
      <c r="C175" s="175"/>
      <c r="D175" s="175"/>
      <c r="E175" s="175"/>
      <c r="F175" s="175"/>
      <c r="G175" s="175"/>
      <c r="H175" s="175"/>
      <c r="I175" s="175"/>
      <c r="J175" s="175"/>
      <c r="K175" s="175"/>
      <c r="L175" s="175"/>
      <c r="M175" s="175"/>
      <c r="N175" s="175"/>
      <c r="O175" s="175"/>
      <c r="P175" s="175"/>
      <c r="Q175" s="175"/>
      <c r="R175" s="175"/>
      <c r="S175" s="175"/>
    </row>
    <row r="176" spans="1:19" ht="14.25" customHeight="1">
      <c r="A176" s="175"/>
      <c r="B176" s="175"/>
      <c r="C176" s="175"/>
      <c r="D176" s="175"/>
      <c r="E176" s="175"/>
      <c r="F176" s="175"/>
      <c r="G176" s="175"/>
      <c r="H176" s="175"/>
      <c r="I176" s="175"/>
      <c r="J176" s="175"/>
      <c r="K176" s="175"/>
      <c r="L176" s="175"/>
      <c r="M176" s="175"/>
      <c r="N176" s="175"/>
      <c r="O176" s="175"/>
      <c r="P176" s="175"/>
      <c r="Q176" s="175"/>
      <c r="R176" s="175"/>
      <c r="S176" s="175"/>
    </row>
    <row r="177" spans="1:19" ht="14.25" customHeight="1">
      <c r="A177" s="175"/>
      <c r="B177" s="175"/>
      <c r="C177" s="175"/>
      <c r="D177" s="175"/>
      <c r="E177" s="175"/>
      <c r="F177" s="175"/>
      <c r="G177" s="175"/>
      <c r="H177" s="175"/>
      <c r="I177" s="175"/>
      <c r="J177" s="175"/>
      <c r="K177" s="175"/>
      <c r="L177" s="175"/>
      <c r="M177" s="175"/>
      <c r="N177" s="175"/>
      <c r="O177" s="175"/>
      <c r="P177" s="175"/>
      <c r="Q177" s="175"/>
      <c r="R177" s="175"/>
      <c r="S177" s="175"/>
    </row>
    <row r="178" spans="1:19" ht="14.25" customHeight="1">
      <c r="A178" s="175"/>
      <c r="B178" s="175"/>
      <c r="C178" s="175"/>
      <c r="D178" s="175"/>
      <c r="E178" s="175"/>
      <c r="F178" s="175"/>
      <c r="G178" s="175"/>
      <c r="H178" s="175"/>
      <c r="I178" s="175"/>
      <c r="J178" s="175"/>
      <c r="K178" s="175"/>
      <c r="L178" s="175"/>
      <c r="M178" s="175"/>
      <c r="N178" s="175"/>
      <c r="O178" s="175"/>
      <c r="P178" s="175"/>
      <c r="Q178" s="175"/>
      <c r="R178" s="175"/>
      <c r="S178" s="175"/>
    </row>
    <row r="179" spans="1:19" ht="14.25" customHeight="1">
      <c r="A179" s="175"/>
      <c r="B179" s="175"/>
      <c r="C179" s="175"/>
      <c r="D179" s="175"/>
      <c r="E179" s="175"/>
      <c r="F179" s="175"/>
      <c r="G179" s="175"/>
      <c r="H179" s="175"/>
      <c r="I179" s="175"/>
      <c r="J179" s="175"/>
      <c r="K179" s="175"/>
      <c r="L179" s="175"/>
      <c r="M179" s="175"/>
      <c r="N179" s="175"/>
      <c r="O179" s="175"/>
      <c r="P179" s="175"/>
      <c r="Q179" s="175"/>
      <c r="R179" s="175"/>
      <c r="S179" s="175"/>
    </row>
    <row r="180" spans="1:19" ht="14.25" customHeight="1">
      <c r="A180" s="175"/>
      <c r="B180" s="175"/>
      <c r="C180" s="175"/>
      <c r="D180" s="175"/>
      <c r="E180" s="175"/>
      <c r="F180" s="175"/>
      <c r="G180" s="175"/>
      <c r="H180" s="175"/>
      <c r="I180" s="175"/>
      <c r="J180" s="175"/>
      <c r="K180" s="175"/>
      <c r="L180" s="175"/>
      <c r="M180" s="175"/>
      <c r="N180" s="175"/>
      <c r="O180" s="175"/>
      <c r="P180" s="175"/>
      <c r="Q180" s="175"/>
      <c r="R180" s="175"/>
      <c r="S180" s="175"/>
    </row>
    <row r="181" spans="1:19" ht="14.25" customHeight="1">
      <c r="A181" s="175"/>
      <c r="B181" s="175"/>
      <c r="C181" s="175"/>
      <c r="D181" s="175"/>
      <c r="E181" s="175"/>
      <c r="F181" s="175"/>
      <c r="G181" s="175"/>
      <c r="H181" s="175"/>
      <c r="I181" s="175"/>
      <c r="J181" s="175"/>
      <c r="K181" s="175"/>
      <c r="L181" s="175"/>
      <c r="M181" s="175"/>
      <c r="N181" s="175"/>
      <c r="O181" s="175"/>
      <c r="P181" s="175"/>
      <c r="Q181" s="175"/>
      <c r="R181" s="175"/>
      <c r="S181" s="175"/>
    </row>
    <row r="182" spans="1:19" ht="14.25" customHeight="1">
      <c r="A182" s="175"/>
      <c r="B182" s="175"/>
      <c r="C182" s="175"/>
      <c r="D182" s="175"/>
      <c r="E182" s="175"/>
      <c r="F182" s="175"/>
      <c r="G182" s="175"/>
      <c r="H182" s="175"/>
      <c r="I182" s="175"/>
      <c r="J182" s="175"/>
      <c r="K182" s="175"/>
      <c r="L182" s="175"/>
      <c r="M182" s="175"/>
      <c r="N182" s="175"/>
      <c r="O182" s="175"/>
      <c r="P182" s="175"/>
      <c r="Q182" s="175"/>
      <c r="R182" s="175"/>
      <c r="S182" s="175"/>
    </row>
    <row r="183" spans="1:19" ht="14.25" customHeight="1">
      <c r="A183" s="175"/>
      <c r="B183" s="175"/>
      <c r="C183" s="175"/>
      <c r="D183" s="175"/>
      <c r="E183" s="175"/>
      <c r="F183" s="175"/>
      <c r="G183" s="175"/>
      <c r="H183" s="175"/>
      <c r="I183" s="175"/>
      <c r="J183" s="175"/>
      <c r="K183" s="175"/>
      <c r="L183" s="175"/>
      <c r="M183" s="175"/>
      <c r="N183" s="175"/>
      <c r="O183" s="175"/>
      <c r="P183" s="175"/>
      <c r="Q183" s="175"/>
      <c r="R183" s="175"/>
      <c r="S183" s="175"/>
    </row>
    <row r="184" spans="1:19" ht="14.25" customHeight="1">
      <c r="A184" s="175"/>
      <c r="B184" s="175"/>
      <c r="C184" s="175"/>
      <c r="D184" s="175"/>
      <c r="E184" s="175"/>
      <c r="F184" s="175"/>
      <c r="G184" s="175"/>
      <c r="H184" s="175"/>
      <c r="I184" s="175"/>
      <c r="J184" s="175"/>
      <c r="K184" s="175"/>
      <c r="L184" s="175"/>
      <c r="M184" s="175"/>
      <c r="N184" s="175"/>
      <c r="O184" s="175"/>
      <c r="P184" s="175"/>
      <c r="Q184" s="175"/>
      <c r="R184" s="175"/>
      <c r="S184" s="175"/>
    </row>
    <row r="185" spans="1:19" ht="14.25" customHeight="1">
      <c r="A185" s="175"/>
      <c r="B185" s="175"/>
      <c r="C185" s="175"/>
      <c r="D185" s="175"/>
      <c r="E185" s="175"/>
      <c r="F185" s="175"/>
      <c r="G185" s="175"/>
      <c r="H185" s="175"/>
      <c r="I185" s="175"/>
      <c r="J185" s="175"/>
      <c r="K185" s="175"/>
      <c r="L185" s="175"/>
      <c r="M185" s="175"/>
      <c r="N185" s="175"/>
      <c r="O185" s="175"/>
      <c r="P185" s="175"/>
      <c r="Q185" s="175"/>
      <c r="R185" s="175"/>
      <c r="S185" s="175"/>
    </row>
    <row r="186" spans="1:19" ht="14.25" customHeight="1">
      <c r="A186" s="175"/>
      <c r="B186" s="175"/>
      <c r="C186" s="175"/>
      <c r="D186" s="175"/>
      <c r="E186" s="175"/>
      <c r="F186" s="175"/>
      <c r="G186" s="175"/>
      <c r="H186" s="175"/>
      <c r="I186" s="175"/>
      <c r="J186" s="175"/>
      <c r="K186" s="175"/>
      <c r="L186" s="175"/>
      <c r="M186" s="175"/>
      <c r="N186" s="175"/>
      <c r="O186" s="175"/>
      <c r="P186" s="175"/>
      <c r="Q186" s="175"/>
      <c r="R186" s="175"/>
      <c r="S186" s="175"/>
    </row>
    <row r="187" spans="1:19" ht="14.25" customHeight="1">
      <c r="A187" s="175"/>
      <c r="B187" s="175"/>
      <c r="C187" s="175"/>
      <c r="D187" s="175"/>
      <c r="E187" s="175"/>
      <c r="F187" s="175"/>
      <c r="G187" s="175"/>
      <c r="H187" s="175"/>
      <c r="I187" s="175"/>
      <c r="J187" s="175"/>
      <c r="K187" s="175"/>
      <c r="L187" s="175"/>
      <c r="M187" s="175"/>
      <c r="N187" s="175"/>
      <c r="O187" s="175"/>
      <c r="P187" s="175"/>
      <c r="Q187" s="175"/>
      <c r="R187" s="175"/>
      <c r="S187" s="175"/>
    </row>
    <row r="188" spans="1:19" ht="14.25" customHeight="1">
      <c r="A188" s="175"/>
      <c r="B188" s="175"/>
      <c r="C188" s="175"/>
      <c r="D188" s="175"/>
      <c r="E188" s="175"/>
      <c r="F188" s="175"/>
      <c r="G188" s="175"/>
      <c r="H188" s="175"/>
      <c r="I188" s="175"/>
      <c r="J188" s="175"/>
      <c r="K188" s="175"/>
      <c r="L188" s="175"/>
      <c r="M188" s="175"/>
      <c r="N188" s="175"/>
      <c r="O188" s="175"/>
      <c r="P188" s="175"/>
      <c r="Q188" s="175"/>
      <c r="R188" s="175"/>
      <c r="S188" s="175"/>
    </row>
    <row r="189" spans="1:19" ht="14.25" customHeight="1">
      <c r="A189" s="175"/>
      <c r="B189" s="175"/>
      <c r="C189" s="175"/>
      <c r="D189" s="175"/>
      <c r="E189" s="175"/>
      <c r="F189" s="175"/>
      <c r="G189" s="175"/>
      <c r="H189" s="175"/>
      <c r="I189" s="175"/>
      <c r="J189" s="175"/>
      <c r="K189" s="175"/>
      <c r="L189" s="175"/>
      <c r="M189" s="175"/>
      <c r="N189" s="175"/>
      <c r="O189" s="175"/>
      <c r="P189" s="175"/>
      <c r="Q189" s="175"/>
      <c r="R189" s="175"/>
      <c r="S189" s="175"/>
    </row>
    <row r="190" spans="1:19" ht="14.25" customHeight="1">
      <c r="A190" s="175"/>
      <c r="B190" s="175"/>
      <c r="C190" s="175"/>
      <c r="D190" s="175"/>
      <c r="E190" s="175"/>
      <c r="F190" s="175"/>
      <c r="G190" s="175"/>
      <c r="H190" s="175"/>
      <c r="I190" s="175"/>
      <c r="J190" s="175"/>
      <c r="K190" s="175"/>
      <c r="L190" s="175"/>
      <c r="M190" s="175"/>
      <c r="N190" s="175"/>
      <c r="O190" s="175"/>
      <c r="P190" s="175"/>
      <c r="Q190" s="175"/>
      <c r="R190" s="175"/>
      <c r="S190" s="175"/>
    </row>
    <row r="191" spans="1:19" ht="14.25" customHeight="1">
      <c r="A191" s="175"/>
      <c r="B191" s="175"/>
      <c r="C191" s="175"/>
      <c r="D191" s="175"/>
      <c r="E191" s="175"/>
      <c r="F191" s="175"/>
      <c r="G191" s="175"/>
      <c r="H191" s="175"/>
      <c r="I191" s="175"/>
      <c r="J191" s="175"/>
      <c r="K191" s="175"/>
      <c r="L191" s="175"/>
      <c r="M191" s="175"/>
      <c r="N191" s="175"/>
      <c r="O191" s="175"/>
      <c r="P191" s="175"/>
      <c r="Q191" s="175"/>
      <c r="R191" s="175"/>
      <c r="S191" s="175"/>
    </row>
    <row r="192" spans="1:19" ht="14.25" customHeight="1">
      <c r="A192" s="175"/>
      <c r="B192" s="175"/>
      <c r="C192" s="175"/>
      <c r="D192" s="175"/>
      <c r="E192" s="175"/>
      <c r="F192" s="175"/>
      <c r="G192" s="175"/>
      <c r="H192" s="175"/>
      <c r="I192" s="175"/>
      <c r="J192" s="175"/>
      <c r="K192" s="175"/>
      <c r="L192" s="175"/>
      <c r="M192" s="175"/>
      <c r="N192" s="175"/>
      <c r="O192" s="175"/>
      <c r="P192" s="175"/>
      <c r="Q192" s="175"/>
      <c r="R192" s="175"/>
      <c r="S192" s="175"/>
    </row>
    <row r="193" spans="1:19" ht="14.25" customHeight="1">
      <c r="A193" s="175"/>
      <c r="B193" s="175"/>
      <c r="C193" s="175"/>
      <c r="D193" s="175"/>
      <c r="E193" s="175"/>
      <c r="F193" s="175"/>
      <c r="G193" s="175"/>
      <c r="H193" s="175"/>
      <c r="I193" s="175"/>
      <c r="J193" s="175"/>
      <c r="K193" s="175"/>
      <c r="L193" s="175"/>
      <c r="M193" s="175"/>
      <c r="N193" s="175"/>
      <c r="O193" s="175"/>
      <c r="P193" s="175"/>
      <c r="Q193" s="175"/>
      <c r="R193" s="175"/>
      <c r="S193" s="175"/>
    </row>
    <row r="194" spans="1:19" ht="14.25" customHeight="1">
      <c r="A194" s="175"/>
      <c r="B194" s="175"/>
      <c r="C194" s="175"/>
      <c r="D194" s="175"/>
      <c r="E194" s="175"/>
      <c r="F194" s="175"/>
      <c r="G194" s="175"/>
      <c r="H194" s="175"/>
      <c r="I194" s="175"/>
      <c r="J194" s="175"/>
      <c r="K194" s="175"/>
      <c r="L194" s="175"/>
      <c r="M194" s="175"/>
      <c r="N194" s="175"/>
      <c r="O194" s="175"/>
      <c r="P194" s="175"/>
      <c r="Q194" s="175"/>
      <c r="R194" s="175"/>
      <c r="S194" s="175"/>
    </row>
    <row r="195" spans="1:19" ht="14.25" customHeight="1">
      <c r="A195" s="175"/>
      <c r="B195" s="175"/>
      <c r="C195" s="175"/>
      <c r="D195" s="175"/>
      <c r="E195" s="175"/>
      <c r="F195" s="175"/>
      <c r="G195" s="175"/>
      <c r="H195" s="175"/>
      <c r="I195" s="175"/>
      <c r="J195" s="175"/>
      <c r="K195" s="175"/>
      <c r="L195" s="175"/>
      <c r="M195" s="175"/>
      <c r="N195" s="175"/>
      <c r="O195" s="175"/>
      <c r="P195" s="175"/>
      <c r="Q195" s="175"/>
      <c r="R195" s="175"/>
      <c r="S195" s="175"/>
    </row>
    <row r="196" spans="1:19" ht="14.25" customHeight="1">
      <c r="A196" s="175"/>
      <c r="B196" s="175"/>
      <c r="C196" s="175"/>
      <c r="D196" s="175"/>
      <c r="E196" s="175"/>
      <c r="F196" s="175"/>
      <c r="G196" s="175"/>
      <c r="H196" s="175"/>
      <c r="I196" s="175"/>
      <c r="J196" s="175"/>
      <c r="K196" s="175"/>
      <c r="L196" s="175"/>
      <c r="M196" s="175"/>
      <c r="N196" s="175"/>
      <c r="O196" s="175"/>
      <c r="P196" s="175"/>
      <c r="Q196" s="175"/>
      <c r="R196" s="175"/>
      <c r="S196" s="175"/>
    </row>
    <row r="197" spans="1:19" ht="14.25" customHeight="1">
      <c r="A197" s="175"/>
      <c r="B197" s="175"/>
      <c r="C197" s="175"/>
      <c r="D197" s="175"/>
      <c r="E197" s="175"/>
      <c r="F197" s="175"/>
      <c r="G197" s="175"/>
      <c r="H197" s="175"/>
      <c r="I197" s="175"/>
      <c r="J197" s="175"/>
      <c r="K197" s="175"/>
      <c r="L197" s="175"/>
      <c r="M197" s="175"/>
      <c r="N197" s="175"/>
      <c r="O197" s="175"/>
      <c r="P197" s="175"/>
      <c r="Q197" s="175"/>
      <c r="R197" s="175"/>
      <c r="S197" s="175"/>
    </row>
    <row r="198" spans="1:19" ht="14.25" customHeight="1">
      <c r="A198" s="175"/>
      <c r="B198" s="175"/>
      <c r="C198" s="175"/>
      <c r="D198" s="175"/>
      <c r="E198" s="175"/>
      <c r="F198" s="175"/>
      <c r="G198" s="175"/>
      <c r="H198" s="175"/>
      <c r="I198" s="175"/>
      <c r="J198" s="175"/>
      <c r="K198" s="175"/>
      <c r="L198" s="175"/>
      <c r="M198" s="175"/>
      <c r="N198" s="175"/>
      <c r="O198" s="175"/>
      <c r="P198" s="175"/>
      <c r="Q198" s="175"/>
      <c r="R198" s="175"/>
      <c r="S198" s="175"/>
    </row>
    <row r="199" spans="1:19" ht="14.25" customHeight="1">
      <c r="A199" s="175"/>
      <c r="B199" s="175"/>
      <c r="C199" s="175"/>
      <c r="D199" s="175"/>
      <c r="E199" s="175"/>
      <c r="F199" s="175"/>
      <c r="G199" s="175"/>
      <c r="H199" s="175"/>
      <c r="I199" s="175"/>
      <c r="J199" s="175"/>
      <c r="K199" s="175"/>
      <c r="L199" s="175"/>
      <c r="M199" s="175"/>
      <c r="N199" s="175"/>
      <c r="O199" s="175"/>
      <c r="P199" s="175"/>
      <c r="Q199" s="175"/>
      <c r="R199" s="175"/>
      <c r="S199" s="175"/>
    </row>
    <row r="200" spans="1:19" ht="14.25" customHeight="1">
      <c r="A200" s="175"/>
      <c r="B200" s="175"/>
      <c r="C200" s="175"/>
      <c r="D200" s="175"/>
      <c r="E200" s="175"/>
      <c r="F200" s="175"/>
      <c r="G200" s="175"/>
      <c r="H200" s="175"/>
      <c r="I200" s="175"/>
      <c r="J200" s="175"/>
      <c r="K200" s="175"/>
      <c r="L200" s="175"/>
      <c r="M200" s="175"/>
      <c r="N200" s="175"/>
      <c r="O200" s="175"/>
      <c r="P200" s="175"/>
      <c r="Q200" s="175"/>
      <c r="R200" s="175"/>
      <c r="S200" s="175"/>
    </row>
    <row r="201" spans="1:19" ht="14.25" customHeight="1">
      <c r="A201" s="175"/>
      <c r="B201" s="175"/>
      <c r="C201" s="175"/>
      <c r="D201" s="175"/>
      <c r="E201" s="175"/>
      <c r="F201" s="175"/>
      <c r="G201" s="175"/>
      <c r="H201" s="175"/>
      <c r="I201" s="175"/>
      <c r="J201" s="175"/>
      <c r="K201" s="175"/>
      <c r="L201" s="175"/>
      <c r="M201" s="175"/>
      <c r="N201" s="175"/>
      <c r="O201" s="175"/>
      <c r="P201" s="175"/>
      <c r="Q201" s="175"/>
      <c r="R201" s="175"/>
      <c r="S201" s="175"/>
    </row>
    <row r="202" spans="1:19" ht="14.25" customHeight="1">
      <c r="A202" s="175"/>
      <c r="B202" s="175"/>
      <c r="C202" s="175"/>
      <c r="D202" s="175"/>
      <c r="E202" s="175"/>
      <c r="F202" s="175"/>
      <c r="G202" s="175"/>
      <c r="H202" s="175"/>
      <c r="I202" s="175"/>
      <c r="J202" s="175"/>
      <c r="K202" s="175"/>
      <c r="L202" s="175"/>
      <c r="M202" s="175"/>
      <c r="N202" s="175"/>
      <c r="O202" s="175"/>
      <c r="P202" s="175"/>
      <c r="Q202" s="175"/>
      <c r="R202" s="175"/>
      <c r="S202" s="175"/>
    </row>
    <row r="203" spans="1:19" ht="14.25" customHeight="1">
      <c r="A203" s="175"/>
      <c r="B203" s="175"/>
      <c r="C203" s="175"/>
      <c r="D203" s="175"/>
      <c r="E203" s="175"/>
      <c r="F203" s="175"/>
      <c r="G203" s="175"/>
      <c r="H203" s="175"/>
      <c r="I203" s="175"/>
      <c r="J203" s="175"/>
      <c r="K203" s="175"/>
      <c r="L203" s="175"/>
      <c r="M203" s="175"/>
      <c r="N203" s="175"/>
      <c r="O203" s="175"/>
      <c r="P203" s="175"/>
      <c r="Q203" s="175"/>
      <c r="R203" s="175"/>
      <c r="S203" s="175"/>
    </row>
    <row r="204" spans="1:19" ht="14.25" customHeight="1">
      <c r="A204" s="175"/>
      <c r="B204" s="175"/>
      <c r="C204" s="175"/>
      <c r="D204" s="175"/>
      <c r="E204" s="175"/>
      <c r="F204" s="175"/>
      <c r="G204" s="175"/>
      <c r="H204" s="175"/>
      <c r="I204" s="175"/>
      <c r="J204" s="175"/>
      <c r="K204" s="175"/>
      <c r="L204" s="175"/>
      <c r="M204" s="175"/>
      <c r="N204" s="175"/>
      <c r="O204" s="175"/>
      <c r="P204" s="175"/>
      <c r="Q204" s="175"/>
      <c r="R204" s="175"/>
      <c r="S204" s="175"/>
    </row>
    <row r="205" spans="1:19" ht="14.25" customHeight="1">
      <c r="A205" s="175"/>
      <c r="B205" s="175"/>
      <c r="C205" s="175"/>
      <c r="D205" s="175"/>
      <c r="E205" s="175"/>
      <c r="F205" s="175"/>
      <c r="G205" s="175"/>
      <c r="H205" s="175"/>
      <c r="I205" s="175"/>
      <c r="J205" s="175"/>
      <c r="K205" s="175"/>
      <c r="L205" s="175"/>
      <c r="M205" s="175"/>
      <c r="N205" s="175"/>
      <c r="O205" s="175"/>
      <c r="P205" s="175"/>
      <c r="Q205" s="175"/>
      <c r="R205" s="175"/>
      <c r="S205" s="175"/>
    </row>
    <row r="206" spans="1:19" ht="14.25" customHeight="1">
      <c r="A206" s="175"/>
      <c r="B206" s="175"/>
      <c r="C206" s="175"/>
      <c r="D206" s="175"/>
      <c r="E206" s="175"/>
      <c r="F206" s="175"/>
      <c r="G206" s="175"/>
      <c r="H206" s="175"/>
      <c r="I206" s="175"/>
      <c r="J206" s="175"/>
      <c r="K206" s="175"/>
      <c r="L206" s="175"/>
      <c r="M206" s="175"/>
      <c r="N206" s="175"/>
      <c r="O206" s="175"/>
      <c r="P206" s="175"/>
      <c r="Q206" s="175"/>
      <c r="R206" s="175"/>
      <c r="S206" s="175"/>
    </row>
    <row r="207" spans="1:19" ht="14.25" customHeight="1">
      <c r="A207" s="175"/>
      <c r="B207" s="175"/>
      <c r="C207" s="175"/>
      <c r="D207" s="175"/>
      <c r="E207" s="175"/>
      <c r="F207" s="175"/>
      <c r="G207" s="175"/>
      <c r="H207" s="175"/>
      <c r="I207" s="175"/>
      <c r="J207" s="175"/>
      <c r="K207" s="175"/>
      <c r="L207" s="175"/>
      <c r="M207" s="175"/>
      <c r="N207" s="175"/>
      <c r="O207" s="175"/>
      <c r="P207" s="175"/>
      <c r="Q207" s="175"/>
      <c r="R207" s="175"/>
      <c r="S207" s="175"/>
    </row>
    <row r="208" spans="1:19" ht="14.25" customHeight="1">
      <c r="A208" s="175"/>
      <c r="B208" s="175"/>
      <c r="C208" s="175"/>
      <c r="D208" s="175"/>
      <c r="E208" s="175"/>
      <c r="F208" s="175"/>
      <c r="G208" s="175"/>
      <c r="H208" s="175"/>
      <c r="I208" s="175"/>
      <c r="J208" s="175"/>
      <c r="K208" s="175"/>
      <c r="L208" s="175"/>
      <c r="M208" s="175"/>
      <c r="N208" s="175"/>
      <c r="O208" s="175"/>
      <c r="P208" s="175"/>
      <c r="Q208" s="175"/>
      <c r="R208" s="175"/>
      <c r="S208" s="175"/>
    </row>
    <row r="209" spans="1:19" ht="14.25" customHeight="1">
      <c r="A209" s="175"/>
      <c r="B209" s="175"/>
      <c r="C209" s="175"/>
      <c r="D209" s="175"/>
      <c r="E209" s="175"/>
      <c r="F209" s="175"/>
      <c r="G209" s="175"/>
      <c r="H209" s="175"/>
      <c r="I209" s="175"/>
      <c r="J209" s="175"/>
      <c r="K209" s="175"/>
      <c r="L209" s="175"/>
      <c r="M209" s="175"/>
      <c r="N209" s="175"/>
      <c r="O209" s="175"/>
      <c r="P209" s="175"/>
      <c r="Q209" s="175"/>
      <c r="R209" s="175"/>
      <c r="S209" s="175"/>
    </row>
    <row r="210" spans="1:19" ht="14.25" customHeight="1">
      <c r="A210" s="175"/>
      <c r="B210" s="175"/>
      <c r="C210" s="175"/>
      <c r="D210" s="175"/>
      <c r="E210" s="175"/>
      <c r="F210" s="175"/>
      <c r="G210" s="175"/>
      <c r="H210" s="175"/>
      <c r="I210" s="175"/>
      <c r="J210" s="175"/>
      <c r="K210" s="175"/>
      <c r="L210" s="175"/>
      <c r="M210" s="175"/>
      <c r="N210" s="175"/>
      <c r="O210" s="175"/>
      <c r="P210" s="175"/>
      <c r="Q210" s="175"/>
      <c r="R210" s="175"/>
      <c r="S210" s="175"/>
    </row>
    <row r="211" spans="1:19" ht="14.25" customHeight="1">
      <c r="A211" s="175"/>
      <c r="B211" s="175"/>
      <c r="C211" s="175"/>
      <c r="D211" s="175"/>
      <c r="E211" s="175"/>
      <c r="F211" s="175"/>
      <c r="G211" s="175"/>
      <c r="H211" s="175"/>
      <c r="I211" s="175"/>
      <c r="J211" s="175"/>
      <c r="K211" s="175"/>
      <c r="L211" s="175"/>
      <c r="M211" s="175"/>
      <c r="N211" s="175"/>
      <c r="O211" s="175"/>
      <c r="P211" s="175"/>
      <c r="Q211" s="175"/>
      <c r="R211" s="175"/>
      <c r="S211" s="175"/>
    </row>
    <row r="212" spans="1:19" ht="14.25" customHeight="1">
      <c r="A212" s="175"/>
      <c r="B212" s="175"/>
      <c r="C212" s="175"/>
      <c r="D212" s="175"/>
      <c r="E212" s="175"/>
      <c r="F212" s="175"/>
      <c r="G212" s="175"/>
      <c r="H212" s="175"/>
      <c r="I212" s="175"/>
      <c r="J212" s="175"/>
      <c r="K212" s="175"/>
      <c r="L212" s="175"/>
      <c r="M212" s="175"/>
      <c r="N212" s="175"/>
      <c r="O212" s="175"/>
      <c r="P212" s="175"/>
      <c r="Q212" s="175"/>
      <c r="R212" s="175"/>
      <c r="S212" s="175"/>
    </row>
    <row r="213" spans="1:19" ht="14.25" customHeight="1">
      <c r="A213" s="175"/>
      <c r="B213" s="175"/>
      <c r="C213" s="175"/>
      <c r="D213" s="175"/>
      <c r="E213" s="175"/>
      <c r="F213" s="175"/>
      <c r="G213" s="175"/>
      <c r="H213" s="175"/>
      <c r="I213" s="175"/>
      <c r="J213" s="175"/>
      <c r="K213" s="175"/>
      <c r="L213" s="175"/>
      <c r="M213" s="175"/>
      <c r="N213" s="175"/>
      <c r="O213" s="175"/>
      <c r="P213" s="175"/>
      <c r="Q213" s="175"/>
      <c r="R213" s="175"/>
      <c r="S213" s="175"/>
    </row>
    <row r="214" spans="1:19" ht="14.25" customHeight="1">
      <c r="A214" s="175"/>
      <c r="B214" s="175"/>
      <c r="C214" s="175"/>
      <c r="D214" s="175"/>
      <c r="E214" s="175"/>
      <c r="F214" s="175"/>
      <c r="G214" s="175"/>
      <c r="H214" s="175"/>
      <c r="I214" s="175"/>
      <c r="J214" s="175"/>
      <c r="K214" s="175"/>
      <c r="L214" s="175"/>
      <c r="M214" s="175"/>
      <c r="N214" s="175"/>
      <c r="O214" s="175"/>
      <c r="P214" s="175"/>
      <c r="Q214" s="175"/>
      <c r="R214" s="175"/>
      <c r="S214" s="175"/>
    </row>
    <row r="215" spans="1:19" ht="14.25" customHeight="1">
      <c r="A215" s="175"/>
      <c r="B215" s="175"/>
      <c r="C215" s="175"/>
      <c r="D215" s="175"/>
      <c r="E215" s="175"/>
      <c r="F215" s="175"/>
      <c r="G215" s="175"/>
      <c r="H215" s="175"/>
      <c r="I215" s="175"/>
      <c r="J215" s="175"/>
      <c r="K215" s="175"/>
      <c r="L215" s="175"/>
      <c r="M215" s="175"/>
      <c r="N215" s="175"/>
      <c r="O215" s="175"/>
      <c r="P215" s="175"/>
      <c r="Q215" s="175"/>
      <c r="R215" s="175"/>
      <c r="S215" s="175"/>
    </row>
    <row r="216" spans="1:19" ht="14.25" customHeight="1">
      <c r="A216" s="175"/>
      <c r="B216" s="175"/>
      <c r="C216" s="175"/>
      <c r="D216" s="175"/>
      <c r="E216" s="175"/>
      <c r="F216" s="175"/>
      <c r="G216" s="175"/>
      <c r="H216" s="175"/>
      <c r="I216" s="175"/>
      <c r="J216" s="175"/>
      <c r="K216" s="175"/>
      <c r="L216" s="175"/>
      <c r="M216" s="175"/>
      <c r="N216" s="175"/>
      <c r="O216" s="175"/>
      <c r="P216" s="175"/>
      <c r="Q216" s="175"/>
      <c r="R216" s="175"/>
      <c r="S216" s="175"/>
    </row>
    <row r="217" spans="1:19" ht="14.25" customHeight="1">
      <c r="A217" s="175"/>
      <c r="B217" s="175"/>
      <c r="C217" s="175"/>
      <c r="D217" s="175"/>
      <c r="E217" s="175"/>
      <c r="F217" s="175"/>
      <c r="G217" s="175"/>
      <c r="H217" s="175"/>
      <c r="I217" s="175"/>
      <c r="J217" s="175"/>
      <c r="K217" s="175"/>
      <c r="L217" s="175"/>
      <c r="M217" s="175"/>
      <c r="N217" s="175"/>
      <c r="O217" s="175"/>
      <c r="P217" s="175"/>
      <c r="Q217" s="175"/>
      <c r="R217" s="175"/>
      <c r="S217" s="175"/>
    </row>
    <row r="218" spans="1:19" ht="14.25" customHeight="1">
      <c r="A218" s="175"/>
      <c r="B218" s="175"/>
      <c r="C218" s="175"/>
      <c r="D218" s="175"/>
      <c r="E218" s="175"/>
      <c r="F218" s="175"/>
      <c r="G218" s="175"/>
      <c r="H218" s="175"/>
      <c r="I218" s="175"/>
      <c r="J218" s="175"/>
      <c r="K218" s="175"/>
      <c r="L218" s="175"/>
      <c r="M218" s="175"/>
      <c r="N218" s="175"/>
      <c r="O218" s="175"/>
      <c r="P218" s="175"/>
      <c r="Q218" s="175"/>
      <c r="R218" s="175"/>
      <c r="S218" s="175"/>
    </row>
    <row r="219" spans="1:19" ht="14.25" customHeight="1">
      <c r="A219" s="175"/>
      <c r="B219" s="175"/>
      <c r="C219" s="175"/>
      <c r="D219" s="175"/>
      <c r="E219" s="175"/>
      <c r="F219" s="175"/>
      <c r="G219" s="175"/>
      <c r="H219" s="175"/>
      <c r="I219" s="175"/>
      <c r="J219" s="175"/>
      <c r="K219" s="175"/>
      <c r="L219" s="175"/>
      <c r="M219" s="175"/>
      <c r="N219" s="175"/>
      <c r="O219" s="175"/>
      <c r="P219" s="175"/>
      <c r="Q219" s="175"/>
      <c r="R219" s="175"/>
      <c r="S219" s="175"/>
    </row>
    <row r="220" spans="1:19" ht="14.25" customHeight="1">
      <c r="A220" s="175"/>
      <c r="B220" s="175"/>
      <c r="C220" s="175"/>
      <c r="D220" s="175"/>
      <c r="E220" s="175"/>
      <c r="F220" s="175"/>
      <c r="G220" s="175"/>
      <c r="H220" s="175"/>
      <c r="I220" s="175"/>
      <c r="J220" s="175"/>
      <c r="K220" s="175"/>
      <c r="L220" s="175"/>
      <c r="M220" s="175"/>
      <c r="N220" s="175"/>
      <c r="O220" s="175"/>
      <c r="P220" s="175"/>
      <c r="Q220" s="175"/>
      <c r="R220" s="175"/>
      <c r="S220" s="175"/>
    </row>
    <row r="221" spans="1:19" ht="14.25" customHeight="1">
      <c r="A221" s="175"/>
      <c r="B221" s="175"/>
      <c r="C221" s="175"/>
      <c r="D221" s="175"/>
      <c r="E221" s="175"/>
      <c r="F221" s="175"/>
      <c r="G221" s="175"/>
      <c r="H221" s="175"/>
      <c r="I221" s="175"/>
      <c r="J221" s="175"/>
      <c r="K221" s="175"/>
      <c r="L221" s="175"/>
      <c r="M221" s="175"/>
      <c r="N221" s="175"/>
      <c r="O221" s="175"/>
      <c r="P221" s="175"/>
      <c r="Q221" s="175"/>
      <c r="R221" s="175"/>
      <c r="S221" s="175"/>
    </row>
    <row r="222" spans="1:19" ht="14.25" customHeight="1">
      <c r="A222" s="175"/>
      <c r="B222" s="175"/>
      <c r="C222" s="175"/>
      <c r="D222" s="175"/>
      <c r="E222" s="175"/>
      <c r="F222" s="175"/>
      <c r="G222" s="175"/>
      <c r="H222" s="175"/>
      <c r="I222" s="175"/>
      <c r="J222" s="175"/>
      <c r="K222" s="175"/>
      <c r="L222" s="175"/>
      <c r="M222" s="175"/>
      <c r="N222" s="175"/>
      <c r="O222" s="175"/>
      <c r="P222" s="175"/>
      <c r="Q222" s="175"/>
      <c r="R222" s="175"/>
      <c r="S222" s="175"/>
    </row>
    <row r="223" spans="1:19" ht="14.25" customHeight="1">
      <c r="A223" s="175"/>
      <c r="B223" s="175"/>
      <c r="C223" s="175"/>
      <c r="D223" s="175"/>
      <c r="E223" s="175"/>
      <c r="F223" s="175"/>
      <c r="G223" s="175"/>
      <c r="H223" s="175"/>
      <c r="I223" s="175"/>
      <c r="J223" s="175"/>
      <c r="K223" s="175"/>
      <c r="L223" s="175"/>
      <c r="M223" s="175"/>
      <c r="N223" s="175"/>
      <c r="O223" s="175"/>
      <c r="P223" s="175"/>
      <c r="Q223" s="175"/>
      <c r="R223" s="175"/>
      <c r="S223" s="175"/>
    </row>
    <row r="224" spans="1:19" ht="14.25" customHeight="1">
      <c r="A224" s="175"/>
      <c r="B224" s="175"/>
      <c r="C224" s="175"/>
      <c r="D224" s="175"/>
      <c r="E224" s="175"/>
      <c r="F224" s="175"/>
      <c r="G224" s="175"/>
      <c r="H224" s="175"/>
      <c r="I224" s="175"/>
      <c r="J224" s="175"/>
      <c r="K224" s="175"/>
      <c r="L224" s="175"/>
      <c r="M224" s="175"/>
      <c r="N224" s="175"/>
      <c r="O224" s="175"/>
      <c r="P224" s="175"/>
      <c r="Q224" s="175"/>
      <c r="R224" s="175"/>
      <c r="S224" s="175"/>
    </row>
    <row r="225" spans="1:19" ht="14.25" customHeight="1">
      <c r="A225" s="175"/>
      <c r="B225" s="175"/>
      <c r="C225" s="175"/>
      <c r="D225" s="175"/>
      <c r="E225" s="175"/>
      <c r="F225" s="175"/>
      <c r="G225" s="175"/>
      <c r="H225" s="175"/>
      <c r="I225" s="175"/>
      <c r="J225" s="175"/>
      <c r="K225" s="175"/>
      <c r="L225" s="175"/>
      <c r="M225" s="175"/>
      <c r="N225" s="175"/>
      <c r="O225" s="175"/>
      <c r="P225" s="175"/>
      <c r="Q225" s="175"/>
      <c r="R225" s="175"/>
      <c r="S225" s="175"/>
    </row>
    <row r="226" spans="1:19" ht="14.25" customHeight="1">
      <c r="A226" s="175"/>
      <c r="B226" s="175"/>
      <c r="C226" s="175"/>
      <c r="D226" s="175"/>
      <c r="E226" s="175"/>
      <c r="F226" s="175"/>
      <c r="G226" s="175"/>
      <c r="H226" s="175"/>
      <c r="I226" s="175"/>
      <c r="J226" s="175"/>
      <c r="K226" s="175"/>
      <c r="L226" s="175"/>
      <c r="M226" s="175"/>
      <c r="N226" s="175"/>
      <c r="O226" s="175"/>
      <c r="P226" s="175"/>
      <c r="Q226" s="175"/>
      <c r="R226" s="175"/>
      <c r="S226" s="175"/>
    </row>
    <row r="227" spans="1:19" ht="14.25" customHeight="1">
      <c r="A227" s="175"/>
      <c r="B227" s="175"/>
      <c r="C227" s="175"/>
      <c r="D227" s="175"/>
      <c r="E227" s="175"/>
      <c r="F227" s="175"/>
      <c r="G227" s="175"/>
      <c r="H227" s="175"/>
      <c r="I227" s="175"/>
      <c r="J227" s="175"/>
      <c r="K227" s="175"/>
      <c r="L227" s="175"/>
      <c r="M227" s="175"/>
      <c r="N227" s="175"/>
      <c r="O227" s="175"/>
      <c r="P227" s="175"/>
      <c r="Q227" s="175"/>
      <c r="R227" s="175"/>
      <c r="S227" s="175"/>
    </row>
    <row r="228" spans="1:19" ht="14.25" customHeight="1">
      <c r="A228" s="175"/>
      <c r="B228" s="175"/>
      <c r="C228" s="175"/>
      <c r="D228" s="175"/>
      <c r="E228" s="175"/>
      <c r="F228" s="175"/>
      <c r="G228" s="175"/>
      <c r="H228" s="175"/>
      <c r="I228" s="175"/>
      <c r="J228" s="175"/>
      <c r="K228" s="175"/>
      <c r="L228" s="175"/>
      <c r="M228" s="175"/>
      <c r="N228" s="175"/>
      <c r="O228" s="175"/>
      <c r="P228" s="175"/>
      <c r="Q228" s="175"/>
      <c r="R228" s="175"/>
      <c r="S228" s="175"/>
    </row>
    <row r="229" spans="1:19" ht="14.25" customHeight="1">
      <c r="A229" s="175"/>
      <c r="B229" s="175"/>
      <c r="C229" s="175"/>
      <c r="D229" s="175"/>
      <c r="E229" s="175"/>
      <c r="F229" s="175"/>
      <c r="G229" s="175"/>
      <c r="H229" s="175"/>
      <c r="I229" s="175"/>
      <c r="J229" s="175"/>
      <c r="K229" s="175"/>
      <c r="L229" s="175"/>
      <c r="M229" s="175"/>
      <c r="N229" s="175"/>
      <c r="O229" s="175"/>
      <c r="P229" s="175"/>
      <c r="Q229" s="175"/>
      <c r="R229" s="175"/>
      <c r="S229" s="175"/>
    </row>
    <row r="230" spans="1:19" ht="14.25" customHeight="1">
      <c r="A230" s="175"/>
      <c r="B230" s="175"/>
      <c r="C230" s="175"/>
      <c r="D230" s="175"/>
      <c r="E230" s="175"/>
      <c r="F230" s="175"/>
      <c r="G230" s="175"/>
      <c r="H230" s="175"/>
      <c r="I230" s="175"/>
      <c r="J230" s="175"/>
      <c r="K230" s="175"/>
      <c r="L230" s="175"/>
      <c r="M230" s="175"/>
      <c r="N230" s="175"/>
      <c r="O230" s="175"/>
      <c r="P230" s="175"/>
      <c r="Q230" s="175"/>
      <c r="R230" s="175"/>
      <c r="S230" s="175"/>
    </row>
    <row r="231" spans="1:19" ht="14.25" customHeight="1">
      <c r="A231" s="175"/>
      <c r="B231" s="175"/>
      <c r="C231" s="175"/>
      <c r="D231" s="175"/>
      <c r="E231" s="175"/>
      <c r="F231" s="175"/>
      <c r="G231" s="175"/>
      <c r="H231" s="175"/>
      <c r="I231" s="175"/>
      <c r="J231" s="175"/>
      <c r="K231" s="175"/>
      <c r="L231" s="175"/>
      <c r="M231" s="175"/>
      <c r="N231" s="175"/>
      <c r="O231" s="175"/>
      <c r="P231" s="175"/>
      <c r="Q231" s="175"/>
      <c r="R231" s="175"/>
      <c r="S231" s="175"/>
    </row>
    <row r="232" spans="1:19" ht="14.25" customHeight="1">
      <c r="A232" s="175"/>
      <c r="B232" s="175"/>
      <c r="C232" s="175"/>
      <c r="D232" s="175"/>
      <c r="E232" s="175"/>
      <c r="F232" s="175"/>
      <c r="G232" s="175"/>
      <c r="H232" s="175"/>
      <c r="I232" s="175"/>
      <c r="J232" s="175"/>
      <c r="K232" s="175"/>
      <c r="L232" s="175"/>
      <c r="M232" s="175"/>
      <c r="N232" s="175"/>
      <c r="O232" s="175"/>
      <c r="P232" s="175"/>
      <c r="Q232" s="175"/>
      <c r="R232" s="175"/>
      <c r="S232" s="175"/>
    </row>
    <row r="233" spans="1:19" ht="14.25" customHeight="1">
      <c r="A233" s="175"/>
      <c r="B233" s="175"/>
      <c r="C233" s="175"/>
      <c r="D233" s="175"/>
      <c r="E233" s="175"/>
      <c r="F233" s="175"/>
      <c r="G233" s="175"/>
      <c r="H233" s="175"/>
      <c r="I233" s="175"/>
      <c r="J233" s="175"/>
      <c r="K233" s="175"/>
      <c r="L233" s="175"/>
      <c r="M233" s="175"/>
      <c r="N233" s="175"/>
      <c r="O233" s="175"/>
      <c r="P233" s="175"/>
      <c r="Q233" s="175"/>
      <c r="R233" s="175"/>
      <c r="S233" s="175"/>
    </row>
    <row r="234" spans="1:19" ht="14.25" customHeight="1">
      <c r="A234" s="175"/>
      <c r="B234" s="175"/>
      <c r="C234" s="175"/>
      <c r="D234" s="175"/>
      <c r="E234" s="175"/>
      <c r="F234" s="175"/>
      <c r="G234" s="175"/>
      <c r="H234" s="175"/>
      <c r="I234" s="175"/>
      <c r="J234" s="175"/>
      <c r="K234" s="175"/>
      <c r="L234" s="175"/>
      <c r="M234" s="175"/>
      <c r="N234" s="175"/>
      <c r="O234" s="175"/>
      <c r="P234" s="175"/>
      <c r="Q234" s="175"/>
      <c r="R234" s="175"/>
      <c r="S234" s="175"/>
    </row>
    <row r="235" spans="1:19" ht="14.25" customHeight="1">
      <c r="A235" s="175"/>
      <c r="B235" s="175"/>
      <c r="C235" s="175"/>
      <c r="D235" s="175"/>
      <c r="E235" s="175"/>
      <c r="F235" s="175"/>
      <c r="G235" s="175"/>
      <c r="H235" s="175"/>
      <c r="I235" s="175"/>
      <c r="J235" s="175"/>
      <c r="K235" s="175"/>
      <c r="L235" s="175"/>
      <c r="M235" s="175"/>
      <c r="N235" s="175"/>
      <c r="O235" s="175"/>
      <c r="P235" s="175"/>
      <c r="Q235" s="175"/>
      <c r="R235" s="175"/>
      <c r="S235" s="175"/>
    </row>
    <row r="236" spans="1:19" ht="14.25" customHeight="1">
      <c r="A236" s="175"/>
      <c r="B236" s="175"/>
      <c r="C236" s="175"/>
      <c r="D236" s="175"/>
      <c r="E236" s="175"/>
      <c r="F236" s="175"/>
      <c r="G236" s="175"/>
      <c r="H236" s="175"/>
      <c r="I236" s="175"/>
      <c r="J236" s="175"/>
      <c r="K236" s="175"/>
      <c r="L236" s="175"/>
      <c r="M236" s="175"/>
      <c r="N236" s="175"/>
      <c r="O236" s="175"/>
      <c r="P236" s="175"/>
      <c r="Q236" s="175"/>
      <c r="R236" s="175"/>
      <c r="S236" s="175"/>
    </row>
    <row r="237" spans="1:19" ht="14.25" customHeight="1">
      <c r="A237" s="175"/>
      <c r="B237" s="175"/>
      <c r="C237" s="175"/>
      <c r="D237" s="175"/>
      <c r="E237" s="175"/>
      <c r="F237" s="175"/>
      <c r="G237" s="175"/>
      <c r="H237" s="175"/>
      <c r="I237" s="175"/>
      <c r="J237" s="175"/>
      <c r="K237" s="175"/>
      <c r="L237" s="175"/>
      <c r="M237" s="175"/>
      <c r="N237" s="175"/>
      <c r="O237" s="175"/>
      <c r="P237" s="175"/>
      <c r="Q237" s="175"/>
      <c r="R237" s="175"/>
      <c r="S237" s="175"/>
    </row>
    <row r="238" spans="1:19" ht="14.25" customHeight="1">
      <c r="A238" s="175"/>
      <c r="B238" s="175"/>
      <c r="C238" s="175"/>
      <c r="D238" s="175"/>
      <c r="E238" s="175"/>
      <c r="F238" s="175"/>
      <c r="G238" s="175"/>
      <c r="H238" s="175"/>
      <c r="I238" s="175"/>
      <c r="J238" s="175"/>
      <c r="K238" s="175"/>
      <c r="L238" s="175"/>
      <c r="M238" s="175"/>
      <c r="N238" s="175"/>
      <c r="O238" s="175"/>
      <c r="P238" s="175"/>
      <c r="Q238" s="175"/>
      <c r="R238" s="175"/>
      <c r="S238" s="175"/>
    </row>
    <row r="239" spans="1:19" ht="14.25" customHeight="1">
      <c r="A239" s="175"/>
      <c r="B239" s="175"/>
      <c r="C239" s="175"/>
      <c r="D239" s="175"/>
      <c r="E239" s="175"/>
      <c r="F239" s="175"/>
      <c r="G239" s="175"/>
      <c r="H239" s="175"/>
      <c r="I239" s="175"/>
      <c r="J239" s="175"/>
      <c r="K239" s="175"/>
      <c r="L239" s="175"/>
      <c r="M239" s="175"/>
      <c r="N239" s="175"/>
      <c r="O239" s="175"/>
      <c r="P239" s="175"/>
      <c r="Q239" s="175"/>
      <c r="R239" s="175"/>
      <c r="S239" s="175"/>
    </row>
    <row r="240" spans="1:19" ht="14.25" customHeight="1">
      <c r="A240" s="175"/>
      <c r="B240" s="175"/>
      <c r="C240" s="175"/>
      <c r="D240" s="175"/>
      <c r="E240" s="175"/>
      <c r="F240" s="175"/>
      <c r="G240" s="175"/>
      <c r="H240" s="175"/>
      <c r="I240" s="175"/>
      <c r="J240" s="175"/>
      <c r="K240" s="175"/>
      <c r="L240" s="175"/>
      <c r="M240" s="175"/>
      <c r="N240" s="175"/>
      <c r="O240" s="175"/>
      <c r="P240" s="175"/>
      <c r="Q240" s="175"/>
      <c r="R240" s="175"/>
      <c r="S240" s="175"/>
    </row>
    <row r="241" spans="1:19" ht="14.25" customHeight="1">
      <c r="A241" s="175"/>
      <c r="B241" s="175"/>
      <c r="C241" s="175"/>
      <c r="D241" s="175"/>
      <c r="E241" s="175"/>
      <c r="F241" s="175"/>
      <c r="G241" s="175"/>
      <c r="H241" s="175"/>
      <c r="I241" s="175"/>
      <c r="J241" s="175"/>
      <c r="K241" s="175"/>
      <c r="L241" s="175"/>
      <c r="M241" s="175"/>
      <c r="N241" s="175"/>
      <c r="O241" s="175"/>
      <c r="P241" s="175"/>
      <c r="Q241" s="175"/>
      <c r="R241" s="175"/>
      <c r="S241" s="175"/>
    </row>
    <row r="242" spans="1:19" ht="14.25" customHeight="1">
      <c r="A242" s="175"/>
      <c r="B242" s="175"/>
      <c r="C242" s="175"/>
      <c r="D242" s="175"/>
      <c r="E242" s="175"/>
      <c r="F242" s="175"/>
      <c r="G242" s="175"/>
      <c r="H242" s="175"/>
      <c r="I242" s="175"/>
      <c r="J242" s="175"/>
      <c r="K242" s="175"/>
      <c r="L242" s="175"/>
      <c r="M242" s="175"/>
      <c r="N242" s="175"/>
      <c r="O242" s="175"/>
      <c r="P242" s="175"/>
      <c r="Q242" s="175"/>
      <c r="R242" s="175"/>
      <c r="S242" s="175"/>
    </row>
    <row r="243" spans="1:19" ht="14.25" customHeight="1">
      <c r="A243" s="175"/>
      <c r="B243" s="175"/>
      <c r="C243" s="175"/>
      <c r="D243" s="175"/>
      <c r="E243" s="175"/>
      <c r="F243" s="175"/>
      <c r="G243" s="175"/>
      <c r="H243" s="175"/>
      <c r="I243" s="175"/>
      <c r="J243" s="175"/>
      <c r="K243" s="175"/>
      <c r="L243" s="175"/>
      <c r="M243" s="175"/>
      <c r="N243" s="175"/>
      <c r="O243" s="175"/>
      <c r="P243" s="175"/>
      <c r="Q243" s="175"/>
      <c r="R243" s="175"/>
      <c r="S243" s="175"/>
    </row>
    <row r="244" spans="1:19" ht="14.25" customHeight="1">
      <c r="A244" s="175"/>
      <c r="B244" s="175"/>
      <c r="C244" s="175"/>
      <c r="D244" s="175"/>
      <c r="E244" s="175"/>
      <c r="F244" s="175"/>
      <c r="G244" s="175"/>
      <c r="H244" s="175"/>
      <c r="I244" s="175"/>
      <c r="J244" s="175"/>
      <c r="K244" s="175"/>
      <c r="L244" s="175"/>
      <c r="M244" s="175"/>
      <c r="N244" s="175"/>
      <c r="O244" s="175"/>
      <c r="P244" s="175"/>
      <c r="Q244" s="175"/>
      <c r="R244" s="175"/>
      <c r="S244" s="175"/>
    </row>
    <row r="245" spans="1:19" ht="14.25" customHeight="1">
      <c r="A245" s="175"/>
      <c r="B245" s="175"/>
      <c r="C245" s="175"/>
      <c r="D245" s="175"/>
      <c r="E245" s="175"/>
      <c r="F245" s="175"/>
      <c r="G245" s="175"/>
      <c r="H245" s="175"/>
      <c r="I245" s="175"/>
      <c r="J245" s="175"/>
      <c r="K245" s="175"/>
      <c r="L245" s="175"/>
      <c r="M245" s="175"/>
      <c r="N245" s="175"/>
      <c r="O245" s="175"/>
      <c r="P245" s="175"/>
      <c r="Q245" s="175"/>
      <c r="R245" s="175"/>
      <c r="S245" s="175"/>
    </row>
    <row r="246" spans="1:19" ht="14.25" customHeight="1">
      <c r="A246" s="175"/>
      <c r="B246" s="175"/>
      <c r="C246" s="175"/>
      <c r="D246" s="175"/>
      <c r="E246" s="175"/>
      <c r="F246" s="175"/>
      <c r="G246" s="175"/>
      <c r="H246" s="175"/>
      <c r="I246" s="175"/>
      <c r="J246" s="175"/>
      <c r="K246" s="175"/>
      <c r="L246" s="175"/>
      <c r="M246" s="175"/>
      <c r="N246" s="175"/>
      <c r="O246" s="175"/>
      <c r="P246" s="175"/>
      <c r="Q246" s="175"/>
      <c r="R246" s="175"/>
      <c r="S246" s="175"/>
    </row>
    <row r="247" spans="1:19" ht="14.25" customHeight="1">
      <c r="A247" s="175"/>
      <c r="B247" s="175"/>
      <c r="C247" s="175"/>
      <c r="D247" s="175"/>
      <c r="E247" s="175"/>
      <c r="F247" s="175"/>
      <c r="G247" s="175"/>
      <c r="H247" s="175"/>
      <c r="I247" s="175"/>
      <c r="J247" s="175"/>
      <c r="K247" s="175"/>
      <c r="L247" s="175"/>
      <c r="M247" s="175"/>
      <c r="N247" s="175"/>
      <c r="O247" s="175"/>
      <c r="P247" s="175"/>
      <c r="Q247" s="175"/>
      <c r="R247" s="175"/>
      <c r="S247" s="175"/>
    </row>
    <row r="248" spans="1:19" ht="14.25" customHeight="1">
      <c r="A248" s="175"/>
      <c r="B248" s="175"/>
      <c r="C248" s="175"/>
      <c r="D248" s="175"/>
      <c r="E248" s="175"/>
      <c r="F248" s="175"/>
      <c r="G248" s="175"/>
      <c r="H248" s="175"/>
      <c r="I248" s="175"/>
      <c r="J248" s="175"/>
      <c r="K248" s="175"/>
      <c r="L248" s="175"/>
      <c r="M248" s="175"/>
      <c r="N248" s="175"/>
      <c r="O248" s="175"/>
      <c r="P248" s="175"/>
      <c r="Q248" s="175"/>
      <c r="R248" s="175"/>
      <c r="S248" s="175"/>
    </row>
    <row r="249" spans="1:19" ht="14.25" customHeight="1">
      <c r="A249" s="175"/>
      <c r="B249" s="175"/>
      <c r="C249" s="175"/>
      <c r="D249" s="175"/>
      <c r="E249" s="175"/>
      <c r="F249" s="175"/>
      <c r="G249" s="175"/>
      <c r="H249" s="175"/>
      <c r="I249" s="175"/>
      <c r="J249" s="175"/>
      <c r="K249" s="175"/>
      <c r="L249" s="175"/>
      <c r="M249" s="175"/>
      <c r="N249" s="175"/>
      <c r="O249" s="175"/>
      <c r="P249" s="175"/>
      <c r="Q249" s="175"/>
      <c r="R249" s="175"/>
      <c r="S249" s="175"/>
    </row>
    <row r="250" spans="1:19" ht="14.25" customHeight="1">
      <c r="A250" s="175"/>
      <c r="B250" s="175"/>
      <c r="C250" s="175"/>
      <c r="D250" s="175"/>
      <c r="E250" s="175"/>
      <c r="F250" s="175"/>
      <c r="G250" s="175"/>
      <c r="H250" s="175"/>
      <c r="I250" s="175"/>
      <c r="J250" s="175"/>
      <c r="K250" s="175"/>
      <c r="L250" s="175"/>
      <c r="M250" s="175"/>
      <c r="N250" s="175"/>
      <c r="O250" s="175"/>
      <c r="P250" s="175"/>
      <c r="Q250" s="175"/>
      <c r="R250" s="175"/>
      <c r="S250" s="175"/>
    </row>
    <row r="251" spans="1:19" ht="14.25" customHeight="1">
      <c r="A251" s="175"/>
      <c r="B251" s="175"/>
      <c r="C251" s="175"/>
      <c r="D251" s="175"/>
      <c r="E251" s="175"/>
      <c r="F251" s="175"/>
      <c r="G251" s="175"/>
      <c r="H251" s="175"/>
      <c r="I251" s="175"/>
      <c r="J251" s="175"/>
      <c r="K251" s="175"/>
      <c r="L251" s="175"/>
      <c r="M251" s="175"/>
      <c r="N251" s="175"/>
      <c r="O251" s="175"/>
      <c r="P251" s="175"/>
      <c r="Q251" s="175"/>
      <c r="R251" s="175"/>
      <c r="S251" s="175"/>
    </row>
    <row r="252" spans="1:19" ht="14.25" customHeight="1">
      <c r="A252" s="175"/>
      <c r="B252" s="175"/>
      <c r="C252" s="175"/>
      <c r="D252" s="175"/>
      <c r="E252" s="175"/>
      <c r="F252" s="175"/>
      <c r="G252" s="175"/>
      <c r="H252" s="175"/>
      <c r="I252" s="175"/>
      <c r="J252" s="175"/>
      <c r="K252" s="175"/>
      <c r="L252" s="175"/>
      <c r="M252" s="175"/>
      <c r="N252" s="175"/>
      <c r="O252" s="175"/>
      <c r="P252" s="175"/>
      <c r="Q252" s="175"/>
      <c r="R252" s="175"/>
      <c r="S252" s="175"/>
    </row>
    <row r="253" spans="1:19" ht="14.25" customHeight="1">
      <c r="A253" s="175"/>
      <c r="B253" s="175"/>
      <c r="C253" s="175"/>
      <c r="D253" s="175"/>
      <c r="E253" s="175"/>
      <c r="F253" s="175"/>
      <c r="G253" s="175"/>
      <c r="H253" s="175"/>
      <c r="I253" s="175"/>
      <c r="J253" s="175"/>
      <c r="K253" s="175"/>
      <c r="L253" s="175"/>
      <c r="M253" s="175"/>
      <c r="N253" s="175"/>
      <c r="O253" s="175"/>
      <c r="P253" s="175"/>
      <c r="Q253" s="175"/>
      <c r="R253" s="175"/>
      <c r="S253" s="175"/>
    </row>
    <row r="254" spans="1:19" ht="14.25" customHeight="1">
      <c r="A254" s="175"/>
      <c r="B254" s="175"/>
      <c r="C254" s="175"/>
      <c r="D254" s="175"/>
      <c r="E254" s="175"/>
      <c r="F254" s="175"/>
      <c r="G254" s="175"/>
      <c r="H254" s="175"/>
      <c r="I254" s="175"/>
      <c r="J254" s="175"/>
      <c r="K254" s="175"/>
      <c r="L254" s="175"/>
      <c r="M254" s="175"/>
      <c r="N254" s="175"/>
      <c r="O254" s="175"/>
      <c r="P254" s="175"/>
      <c r="Q254" s="175"/>
      <c r="R254" s="175"/>
      <c r="S254" s="175"/>
    </row>
    <row r="255" spans="1:19" ht="14.25" customHeight="1">
      <c r="A255" s="175"/>
      <c r="B255" s="175"/>
      <c r="C255" s="175"/>
      <c r="D255" s="175"/>
      <c r="E255" s="175"/>
      <c r="F255" s="175"/>
      <c r="G255" s="175"/>
      <c r="H255" s="175"/>
      <c r="I255" s="175"/>
      <c r="J255" s="175"/>
      <c r="K255" s="175"/>
      <c r="L255" s="175"/>
      <c r="M255" s="175"/>
      <c r="N255" s="175"/>
      <c r="O255" s="175"/>
      <c r="P255" s="175"/>
      <c r="Q255" s="175"/>
      <c r="R255" s="175"/>
      <c r="S255" s="175"/>
    </row>
    <row r="256" spans="1:19" ht="14.25" customHeight="1">
      <c r="A256" s="175"/>
      <c r="B256" s="175"/>
      <c r="C256" s="175"/>
      <c r="D256" s="175"/>
      <c r="E256" s="175"/>
      <c r="F256" s="175"/>
      <c r="G256" s="175"/>
      <c r="H256" s="175"/>
      <c r="I256" s="175"/>
      <c r="J256" s="175"/>
      <c r="K256" s="175"/>
      <c r="L256" s="175"/>
      <c r="M256" s="175"/>
      <c r="N256" s="175"/>
      <c r="O256" s="175"/>
      <c r="P256" s="175"/>
      <c r="Q256" s="175"/>
      <c r="R256" s="175"/>
      <c r="S256" s="175"/>
    </row>
    <row r="257" spans="1:19" ht="14.25" customHeight="1">
      <c r="A257" s="175"/>
      <c r="B257" s="175"/>
      <c r="C257" s="175"/>
      <c r="D257" s="175"/>
      <c r="E257" s="175"/>
      <c r="F257" s="175"/>
      <c r="G257" s="175"/>
      <c r="H257" s="175"/>
      <c r="I257" s="175"/>
      <c r="J257" s="175"/>
      <c r="K257" s="175"/>
      <c r="L257" s="175"/>
      <c r="M257" s="175"/>
      <c r="N257" s="175"/>
      <c r="O257" s="175"/>
      <c r="P257" s="175"/>
      <c r="Q257" s="175"/>
      <c r="R257" s="175"/>
      <c r="S257" s="175"/>
    </row>
    <row r="258" spans="1:19" ht="14.25" customHeight="1">
      <c r="A258" s="175"/>
      <c r="B258" s="175"/>
      <c r="C258" s="175"/>
      <c r="D258" s="175"/>
      <c r="E258" s="175"/>
      <c r="F258" s="175"/>
      <c r="G258" s="175"/>
      <c r="H258" s="175"/>
      <c r="I258" s="175"/>
      <c r="J258" s="175"/>
      <c r="K258" s="175"/>
      <c r="L258" s="175"/>
      <c r="M258" s="175"/>
      <c r="N258" s="175"/>
      <c r="O258" s="175"/>
      <c r="P258" s="175"/>
      <c r="Q258" s="175"/>
      <c r="R258" s="175"/>
      <c r="S258" s="175"/>
    </row>
    <row r="259" spans="1:19" ht="14.25" customHeight="1">
      <c r="A259" s="175"/>
      <c r="B259" s="175"/>
      <c r="C259" s="175"/>
      <c r="D259" s="175"/>
      <c r="E259" s="175"/>
      <c r="F259" s="175"/>
      <c r="G259" s="175"/>
      <c r="H259" s="175"/>
      <c r="I259" s="175"/>
      <c r="J259" s="175"/>
      <c r="K259" s="175"/>
      <c r="L259" s="175"/>
      <c r="M259" s="175"/>
      <c r="N259" s="175"/>
      <c r="O259" s="175"/>
      <c r="P259" s="175"/>
      <c r="Q259" s="175"/>
      <c r="R259" s="175"/>
      <c r="S259" s="175"/>
    </row>
    <row r="260" spans="1:19" ht="14.25" customHeight="1">
      <c r="A260" s="175"/>
      <c r="B260" s="175"/>
      <c r="C260" s="175"/>
      <c r="D260" s="175"/>
      <c r="E260" s="175"/>
      <c r="F260" s="175"/>
      <c r="G260" s="175"/>
      <c r="H260" s="175"/>
      <c r="I260" s="175"/>
      <c r="J260" s="175"/>
      <c r="K260" s="175"/>
      <c r="L260" s="175"/>
      <c r="M260" s="175"/>
      <c r="N260" s="175"/>
      <c r="O260" s="175"/>
      <c r="P260" s="175"/>
      <c r="Q260" s="175"/>
      <c r="R260" s="175"/>
      <c r="S260" s="175"/>
    </row>
    <row r="261" spans="1:19" ht="14.25" customHeight="1">
      <c r="A261" s="175"/>
      <c r="B261" s="175"/>
      <c r="C261" s="175"/>
      <c r="D261" s="175"/>
      <c r="E261" s="175"/>
      <c r="F261" s="175"/>
      <c r="G261" s="175"/>
      <c r="H261" s="175"/>
      <c r="I261" s="175"/>
      <c r="J261" s="175"/>
      <c r="K261" s="175"/>
      <c r="L261" s="175"/>
      <c r="M261" s="175"/>
      <c r="N261" s="175"/>
      <c r="O261" s="175"/>
      <c r="P261" s="175"/>
      <c r="Q261" s="175"/>
      <c r="R261" s="175"/>
      <c r="S261" s="175"/>
    </row>
    <row r="262" spans="1:19" ht="14.25" customHeight="1">
      <c r="A262" s="175"/>
      <c r="B262" s="175"/>
      <c r="C262" s="175"/>
      <c r="D262" s="175"/>
      <c r="E262" s="175"/>
      <c r="F262" s="175"/>
      <c r="G262" s="175"/>
      <c r="H262" s="175"/>
      <c r="I262" s="175"/>
      <c r="J262" s="175"/>
      <c r="K262" s="175"/>
      <c r="L262" s="175"/>
      <c r="M262" s="175"/>
      <c r="N262" s="175"/>
      <c r="O262" s="175"/>
      <c r="P262" s="175"/>
      <c r="Q262" s="175"/>
      <c r="R262" s="175"/>
      <c r="S262" s="175"/>
    </row>
    <row r="263" spans="1:19" ht="14.25" customHeight="1">
      <c r="A263" s="175"/>
      <c r="B263" s="175"/>
      <c r="C263" s="175"/>
      <c r="D263" s="175"/>
      <c r="E263" s="175"/>
      <c r="F263" s="175"/>
      <c r="G263" s="175"/>
      <c r="H263" s="175"/>
      <c r="I263" s="175"/>
      <c r="J263" s="175"/>
      <c r="K263" s="175"/>
      <c r="L263" s="175"/>
      <c r="M263" s="175"/>
      <c r="N263" s="175"/>
      <c r="O263" s="175"/>
      <c r="P263" s="175"/>
      <c r="Q263" s="175"/>
      <c r="R263" s="175"/>
      <c r="S263" s="175"/>
    </row>
    <row r="264" spans="1:19" ht="14.25" customHeight="1">
      <c r="A264" s="175"/>
      <c r="B264" s="175"/>
      <c r="C264" s="175"/>
      <c r="D264" s="175"/>
      <c r="E264" s="175"/>
      <c r="F264" s="175"/>
      <c r="G264" s="175"/>
      <c r="H264" s="175"/>
      <c r="I264" s="175"/>
      <c r="J264" s="175"/>
      <c r="K264" s="175"/>
      <c r="L264" s="175"/>
      <c r="M264" s="175"/>
      <c r="N264" s="175"/>
      <c r="O264" s="175"/>
      <c r="P264" s="175"/>
      <c r="Q264" s="175"/>
      <c r="R264" s="175"/>
      <c r="S264" s="175"/>
    </row>
    <row r="265" spans="1:19" ht="14.25" customHeight="1">
      <c r="A265" s="175"/>
      <c r="B265" s="175"/>
      <c r="C265" s="175"/>
      <c r="D265" s="175"/>
      <c r="E265" s="175"/>
      <c r="F265" s="175"/>
      <c r="G265" s="175"/>
      <c r="H265" s="175"/>
      <c r="I265" s="175"/>
      <c r="J265" s="175"/>
      <c r="K265" s="175"/>
      <c r="L265" s="175"/>
      <c r="M265" s="175"/>
      <c r="N265" s="175"/>
      <c r="O265" s="175"/>
      <c r="P265" s="175"/>
      <c r="Q265" s="175"/>
      <c r="R265" s="175"/>
      <c r="S265" s="175"/>
    </row>
    <row r="266" spans="1:19" ht="14.25" customHeight="1">
      <c r="A266" s="175"/>
      <c r="B266" s="175"/>
      <c r="C266" s="175"/>
      <c r="D266" s="175"/>
      <c r="E266" s="175"/>
      <c r="F266" s="175"/>
      <c r="G266" s="175"/>
      <c r="H266" s="175"/>
      <c r="I266" s="175"/>
      <c r="J266" s="175"/>
      <c r="K266" s="175"/>
      <c r="L266" s="175"/>
      <c r="M266" s="175"/>
      <c r="N266" s="175"/>
      <c r="O266" s="175"/>
      <c r="P266" s="175"/>
      <c r="Q266" s="175"/>
      <c r="R266" s="175"/>
      <c r="S266" s="175"/>
    </row>
    <row r="267" spans="1:19" ht="14.25" customHeight="1">
      <c r="A267" s="175"/>
      <c r="B267" s="175"/>
      <c r="C267" s="175"/>
      <c r="D267" s="175"/>
      <c r="E267" s="175"/>
      <c r="F267" s="175"/>
      <c r="G267" s="175"/>
      <c r="H267" s="175"/>
      <c r="I267" s="175"/>
      <c r="J267" s="175"/>
      <c r="K267" s="175"/>
      <c r="L267" s="175"/>
      <c r="M267" s="175"/>
      <c r="N267" s="175"/>
      <c r="O267" s="175"/>
      <c r="P267" s="175"/>
      <c r="Q267" s="175"/>
      <c r="R267" s="175"/>
      <c r="S267" s="175"/>
    </row>
    <row r="268" spans="1:19" ht="14.25" customHeight="1">
      <c r="A268" s="175"/>
      <c r="B268" s="175"/>
      <c r="C268" s="175"/>
      <c r="D268" s="175"/>
      <c r="E268" s="175"/>
      <c r="F268" s="175"/>
      <c r="G268" s="175"/>
      <c r="H268" s="175"/>
      <c r="I268" s="175"/>
      <c r="J268" s="175"/>
      <c r="K268" s="175"/>
      <c r="L268" s="175"/>
      <c r="M268" s="175"/>
      <c r="N268" s="175"/>
      <c r="O268" s="175"/>
      <c r="P268" s="175"/>
      <c r="Q268" s="175"/>
      <c r="R268" s="175"/>
      <c r="S268" s="175"/>
    </row>
    <row r="269" spans="1:19" ht="14.25" customHeight="1">
      <c r="A269" s="175"/>
      <c r="B269" s="175"/>
      <c r="C269" s="175"/>
      <c r="D269" s="175"/>
      <c r="E269" s="175"/>
      <c r="F269" s="175"/>
      <c r="G269" s="175"/>
      <c r="H269" s="175"/>
      <c r="I269" s="175"/>
      <c r="J269" s="175"/>
      <c r="K269" s="175"/>
      <c r="L269" s="175"/>
      <c r="M269" s="175"/>
      <c r="N269" s="175"/>
      <c r="O269" s="175"/>
      <c r="P269" s="175"/>
      <c r="Q269" s="175"/>
      <c r="R269" s="175"/>
      <c r="S269" s="175"/>
    </row>
    <row r="270" spans="1:19" ht="14.25" customHeight="1">
      <c r="A270" s="175"/>
      <c r="B270" s="175"/>
      <c r="C270" s="175"/>
      <c r="D270" s="175"/>
      <c r="E270" s="175"/>
      <c r="F270" s="175"/>
      <c r="G270" s="175"/>
      <c r="H270" s="175"/>
      <c r="I270" s="175"/>
      <c r="J270" s="175"/>
      <c r="K270" s="175"/>
      <c r="L270" s="175"/>
      <c r="M270" s="175"/>
      <c r="N270" s="175"/>
      <c r="O270" s="175"/>
      <c r="P270" s="175"/>
      <c r="Q270" s="175"/>
      <c r="R270" s="175"/>
      <c r="S270" s="175"/>
    </row>
    <row r="271" spans="1:19" ht="14.25" customHeight="1">
      <c r="A271" s="175"/>
      <c r="B271" s="175"/>
      <c r="C271" s="175"/>
      <c r="D271" s="175"/>
      <c r="E271" s="175"/>
      <c r="F271" s="175"/>
      <c r="G271" s="175"/>
      <c r="H271" s="175"/>
      <c r="I271" s="175"/>
      <c r="J271" s="175"/>
      <c r="K271" s="175"/>
      <c r="L271" s="175"/>
      <c r="M271" s="175"/>
      <c r="N271" s="175"/>
      <c r="O271" s="175"/>
      <c r="P271" s="175"/>
      <c r="Q271" s="175"/>
      <c r="R271" s="175"/>
      <c r="S271" s="175"/>
    </row>
    <row r="272" spans="1:19" ht="14.25" customHeight="1">
      <c r="A272" s="175"/>
      <c r="B272" s="175"/>
      <c r="C272" s="175"/>
      <c r="D272" s="175"/>
      <c r="E272" s="175"/>
      <c r="F272" s="175"/>
      <c r="G272" s="175"/>
      <c r="H272" s="175"/>
      <c r="I272" s="175"/>
      <c r="J272" s="175"/>
      <c r="K272" s="175"/>
      <c r="L272" s="175"/>
      <c r="M272" s="175"/>
      <c r="N272" s="175"/>
      <c r="O272" s="175"/>
      <c r="P272" s="175"/>
      <c r="Q272" s="175"/>
      <c r="R272" s="175"/>
      <c r="S272" s="175"/>
    </row>
    <row r="273" spans="1:19" ht="14.25" customHeight="1">
      <c r="A273" s="175"/>
      <c r="B273" s="175"/>
      <c r="C273" s="175"/>
      <c r="D273" s="175"/>
      <c r="E273" s="175"/>
      <c r="F273" s="175"/>
      <c r="G273" s="175"/>
      <c r="H273" s="175"/>
      <c r="I273" s="175"/>
      <c r="J273" s="175"/>
      <c r="K273" s="175"/>
      <c r="L273" s="175"/>
      <c r="M273" s="175"/>
      <c r="N273" s="175"/>
      <c r="O273" s="175"/>
      <c r="P273" s="175"/>
      <c r="Q273" s="175"/>
      <c r="R273" s="175"/>
      <c r="S273" s="175"/>
    </row>
    <row r="274" spans="1:19" ht="14.25" customHeight="1">
      <c r="A274" s="175"/>
      <c r="B274" s="175"/>
      <c r="C274" s="175"/>
      <c r="D274" s="175"/>
      <c r="E274" s="175"/>
      <c r="F274" s="175"/>
      <c r="G274" s="175"/>
      <c r="H274" s="175"/>
      <c r="I274" s="175"/>
      <c r="J274" s="175"/>
      <c r="K274" s="175"/>
      <c r="L274" s="175"/>
      <c r="M274" s="175"/>
      <c r="N274" s="175"/>
      <c r="O274" s="175"/>
      <c r="P274" s="175"/>
      <c r="Q274" s="175"/>
      <c r="R274" s="175"/>
      <c r="S274" s="175"/>
    </row>
    <row r="275" spans="1:19" ht="14.25" customHeight="1">
      <c r="A275" s="175"/>
      <c r="B275" s="175"/>
      <c r="C275" s="175"/>
      <c r="D275" s="175"/>
      <c r="E275" s="175"/>
      <c r="F275" s="175"/>
      <c r="G275" s="175"/>
      <c r="H275" s="175"/>
      <c r="I275" s="175"/>
      <c r="J275" s="175"/>
      <c r="K275" s="175"/>
      <c r="L275" s="175"/>
      <c r="M275" s="175"/>
      <c r="N275" s="175"/>
      <c r="O275" s="175"/>
      <c r="P275" s="175"/>
      <c r="Q275" s="175"/>
      <c r="R275" s="175"/>
      <c r="S275" s="175"/>
    </row>
    <row r="276" spans="1:19" ht="14.25" customHeight="1">
      <c r="A276" s="175"/>
      <c r="B276" s="175"/>
      <c r="C276" s="175"/>
      <c r="D276" s="175"/>
      <c r="E276" s="175"/>
      <c r="F276" s="175"/>
      <c r="G276" s="175"/>
      <c r="H276" s="175"/>
      <c r="I276" s="175"/>
      <c r="J276" s="175"/>
      <c r="K276" s="175"/>
      <c r="L276" s="175"/>
      <c r="M276" s="175"/>
      <c r="N276" s="175"/>
      <c r="O276" s="175"/>
      <c r="P276" s="175"/>
      <c r="Q276" s="175"/>
      <c r="R276" s="175"/>
      <c r="S276" s="175"/>
    </row>
    <row r="277" spans="1:19" ht="14.25" customHeight="1">
      <c r="A277" s="175"/>
      <c r="B277" s="175"/>
      <c r="C277" s="175"/>
      <c r="D277" s="175"/>
      <c r="E277" s="175"/>
      <c r="F277" s="175"/>
      <c r="G277" s="175"/>
      <c r="H277" s="175"/>
      <c r="I277" s="175"/>
      <c r="J277" s="175"/>
      <c r="K277" s="175"/>
      <c r="L277" s="175"/>
      <c r="M277" s="175"/>
      <c r="N277" s="175"/>
      <c r="O277" s="175"/>
      <c r="P277" s="175"/>
      <c r="Q277" s="175"/>
      <c r="R277" s="175"/>
      <c r="S277" s="175"/>
    </row>
    <row r="278" spans="1:19" ht="14.25" customHeight="1">
      <c r="A278" s="175"/>
      <c r="B278" s="175"/>
      <c r="C278" s="175"/>
      <c r="D278" s="175"/>
      <c r="E278" s="175"/>
      <c r="F278" s="175"/>
      <c r="G278" s="175"/>
      <c r="H278" s="175"/>
      <c r="I278" s="175"/>
      <c r="J278" s="175"/>
      <c r="K278" s="175"/>
      <c r="L278" s="175"/>
      <c r="M278" s="175"/>
      <c r="N278" s="175"/>
      <c r="O278" s="175"/>
      <c r="P278" s="175"/>
      <c r="Q278" s="175"/>
      <c r="R278" s="175"/>
      <c r="S278" s="175"/>
    </row>
    <row r="279" spans="1:19" ht="14.25" customHeight="1">
      <c r="A279" s="175"/>
      <c r="B279" s="175"/>
      <c r="C279" s="175"/>
      <c r="D279" s="175"/>
      <c r="E279" s="175"/>
      <c r="F279" s="175"/>
      <c r="G279" s="175"/>
      <c r="H279" s="175"/>
      <c r="I279" s="175"/>
      <c r="J279" s="175"/>
      <c r="K279" s="175"/>
      <c r="L279" s="175"/>
      <c r="M279" s="175"/>
      <c r="N279" s="175"/>
      <c r="O279" s="175"/>
      <c r="P279" s="175"/>
      <c r="Q279" s="175"/>
      <c r="R279" s="175"/>
      <c r="S279" s="175"/>
    </row>
    <row r="280" spans="1:19" ht="14.25" customHeight="1">
      <c r="A280" s="175"/>
      <c r="B280" s="175"/>
      <c r="C280" s="175"/>
      <c r="D280" s="175"/>
      <c r="E280" s="175"/>
      <c r="F280" s="175"/>
      <c r="G280" s="175"/>
      <c r="H280" s="175"/>
      <c r="I280" s="175"/>
      <c r="J280" s="175"/>
      <c r="K280" s="175"/>
      <c r="L280" s="175"/>
      <c r="M280" s="175"/>
      <c r="N280" s="175"/>
      <c r="O280" s="175"/>
      <c r="P280" s="175"/>
      <c r="Q280" s="175"/>
      <c r="R280" s="175"/>
      <c r="S280" s="175"/>
    </row>
    <row r="281" spans="1:19" ht="14.25" customHeight="1">
      <c r="A281" s="175"/>
      <c r="B281" s="175"/>
      <c r="C281" s="175"/>
      <c r="D281" s="175"/>
      <c r="E281" s="175"/>
      <c r="F281" s="175"/>
      <c r="G281" s="175"/>
      <c r="H281" s="175"/>
      <c r="I281" s="175"/>
      <c r="J281" s="175"/>
      <c r="K281" s="175"/>
      <c r="L281" s="175"/>
      <c r="M281" s="175"/>
      <c r="N281" s="175"/>
      <c r="O281" s="175"/>
      <c r="P281" s="175"/>
      <c r="Q281" s="175"/>
      <c r="R281" s="175"/>
      <c r="S281" s="175"/>
    </row>
    <row r="282" spans="1:19" ht="14.25" customHeight="1">
      <c r="A282" s="175"/>
      <c r="B282" s="175"/>
      <c r="C282" s="175"/>
      <c r="D282" s="175"/>
      <c r="E282" s="175"/>
      <c r="F282" s="175"/>
      <c r="G282" s="175"/>
      <c r="H282" s="175"/>
      <c r="I282" s="175"/>
      <c r="J282" s="175"/>
      <c r="K282" s="175"/>
      <c r="L282" s="175"/>
      <c r="M282" s="175"/>
      <c r="N282" s="175"/>
      <c r="O282" s="175"/>
      <c r="P282" s="175"/>
      <c r="Q282" s="175"/>
      <c r="R282" s="175"/>
      <c r="S282" s="175"/>
    </row>
    <row r="283" spans="1:19" ht="14.25" customHeight="1">
      <c r="A283" s="175"/>
      <c r="B283" s="175"/>
      <c r="C283" s="175"/>
      <c r="D283" s="175"/>
      <c r="E283" s="175"/>
      <c r="F283" s="175"/>
      <c r="G283" s="175"/>
      <c r="H283" s="175"/>
      <c r="I283" s="175"/>
      <c r="J283" s="175"/>
      <c r="K283" s="175"/>
      <c r="L283" s="175"/>
      <c r="M283" s="175"/>
      <c r="N283" s="175"/>
      <c r="O283" s="175"/>
      <c r="P283" s="175"/>
      <c r="Q283" s="175"/>
      <c r="R283" s="175"/>
      <c r="S283" s="175"/>
    </row>
    <row r="284" spans="1:19" ht="14.25" customHeight="1">
      <c r="A284" s="175"/>
      <c r="B284" s="175"/>
      <c r="C284" s="175"/>
      <c r="D284" s="175"/>
      <c r="E284" s="175"/>
      <c r="F284" s="175"/>
      <c r="G284" s="175"/>
      <c r="H284" s="175"/>
      <c r="I284" s="175"/>
      <c r="J284" s="175"/>
      <c r="K284" s="175"/>
      <c r="L284" s="175"/>
      <c r="M284" s="175"/>
      <c r="N284" s="175"/>
      <c r="O284" s="175"/>
      <c r="P284" s="175"/>
      <c r="Q284" s="175"/>
      <c r="R284" s="175"/>
      <c r="S284" s="175"/>
    </row>
    <row r="285" spans="1:19" ht="14.25" customHeight="1">
      <c r="A285" s="175"/>
      <c r="B285" s="175"/>
      <c r="C285" s="175"/>
      <c r="D285" s="175"/>
      <c r="E285" s="175"/>
      <c r="F285" s="175"/>
      <c r="G285" s="175"/>
      <c r="H285" s="175"/>
      <c r="I285" s="175"/>
      <c r="J285" s="175"/>
      <c r="K285" s="175"/>
      <c r="L285" s="175"/>
      <c r="M285" s="175"/>
      <c r="N285" s="175"/>
      <c r="O285" s="175"/>
      <c r="P285" s="175"/>
      <c r="Q285" s="175"/>
      <c r="R285" s="175"/>
      <c r="S285" s="175"/>
    </row>
    <row r="286" spans="1:19" ht="14.25" customHeight="1">
      <c r="A286" s="175"/>
      <c r="B286" s="175"/>
      <c r="C286" s="175"/>
      <c r="D286" s="175"/>
      <c r="E286" s="175"/>
      <c r="F286" s="175"/>
      <c r="G286" s="175"/>
      <c r="H286" s="175"/>
      <c r="I286" s="175"/>
      <c r="J286" s="175"/>
      <c r="K286" s="175"/>
      <c r="L286" s="175"/>
      <c r="M286" s="175"/>
      <c r="N286" s="175"/>
      <c r="O286" s="175"/>
      <c r="P286" s="175"/>
      <c r="Q286" s="175"/>
      <c r="R286" s="175"/>
      <c r="S286" s="175"/>
    </row>
    <row r="287" spans="1:19" ht="14.25" customHeight="1">
      <c r="A287" s="175"/>
      <c r="B287" s="175"/>
      <c r="C287" s="175"/>
      <c r="D287" s="175"/>
      <c r="E287" s="175"/>
      <c r="F287" s="175"/>
      <c r="G287" s="175"/>
      <c r="H287" s="175"/>
      <c r="I287" s="175"/>
      <c r="J287" s="175"/>
      <c r="K287" s="175"/>
      <c r="L287" s="175"/>
      <c r="M287" s="175"/>
      <c r="N287" s="175"/>
      <c r="O287" s="175"/>
      <c r="P287" s="175"/>
      <c r="Q287" s="175"/>
      <c r="R287" s="175"/>
      <c r="S287" s="175"/>
    </row>
    <row r="288" spans="1:19" ht="14.25" customHeight="1">
      <c r="A288" s="175"/>
      <c r="B288" s="175"/>
      <c r="C288" s="175"/>
      <c r="D288" s="175"/>
      <c r="E288" s="175"/>
      <c r="F288" s="175"/>
      <c r="G288" s="175"/>
      <c r="H288" s="175"/>
      <c r="I288" s="175"/>
      <c r="J288" s="175"/>
      <c r="K288" s="175"/>
      <c r="L288" s="175"/>
      <c r="M288" s="175"/>
      <c r="N288" s="175"/>
      <c r="O288" s="175"/>
      <c r="P288" s="175"/>
      <c r="Q288" s="175"/>
      <c r="R288" s="175"/>
      <c r="S288" s="175"/>
    </row>
    <row r="289" spans="1:19" ht="14.25" customHeight="1">
      <c r="A289" s="175"/>
      <c r="B289" s="175"/>
      <c r="C289" s="175"/>
      <c r="D289" s="175"/>
      <c r="E289" s="175"/>
      <c r="F289" s="175"/>
      <c r="G289" s="175"/>
      <c r="H289" s="175"/>
      <c r="I289" s="175"/>
      <c r="J289" s="175"/>
      <c r="K289" s="175"/>
      <c r="L289" s="175"/>
      <c r="M289" s="175"/>
      <c r="N289" s="175"/>
      <c r="O289" s="175"/>
      <c r="P289" s="175"/>
      <c r="Q289" s="175"/>
      <c r="R289" s="175"/>
      <c r="S289" s="175"/>
    </row>
    <row r="290" spans="1:19" ht="14.25" customHeight="1">
      <c r="A290" s="175"/>
      <c r="B290" s="175"/>
      <c r="C290" s="175"/>
      <c r="D290" s="175"/>
      <c r="E290" s="175"/>
      <c r="F290" s="175"/>
      <c r="G290" s="175"/>
      <c r="H290" s="175"/>
      <c r="I290" s="175"/>
      <c r="J290" s="175"/>
      <c r="K290" s="175"/>
      <c r="L290" s="175"/>
      <c r="M290" s="175"/>
      <c r="N290" s="175"/>
      <c r="O290" s="175"/>
      <c r="P290" s="175"/>
      <c r="Q290" s="175"/>
      <c r="R290" s="175"/>
      <c r="S290" s="175"/>
    </row>
    <row r="291" spans="1:19" ht="14.25" customHeight="1">
      <c r="A291" s="175"/>
      <c r="B291" s="175"/>
      <c r="C291" s="175"/>
      <c r="D291" s="175"/>
      <c r="E291" s="175"/>
      <c r="F291" s="175"/>
      <c r="G291" s="175"/>
      <c r="H291" s="175"/>
      <c r="I291" s="175"/>
      <c r="J291" s="175"/>
      <c r="K291" s="175"/>
      <c r="L291" s="175"/>
      <c r="M291" s="175"/>
      <c r="N291" s="175"/>
      <c r="O291" s="175"/>
      <c r="P291" s="175"/>
      <c r="Q291" s="175"/>
      <c r="R291" s="175"/>
      <c r="S291" s="175"/>
    </row>
    <row r="292" spans="1:19" ht="14.25" customHeight="1">
      <c r="A292" s="175"/>
      <c r="B292" s="175"/>
      <c r="C292" s="175"/>
      <c r="D292" s="175"/>
      <c r="E292" s="175"/>
      <c r="F292" s="175"/>
      <c r="G292" s="175"/>
      <c r="H292" s="175"/>
      <c r="I292" s="175"/>
      <c r="J292" s="175"/>
      <c r="K292" s="175"/>
      <c r="L292" s="175"/>
      <c r="M292" s="175"/>
      <c r="N292" s="175"/>
      <c r="O292" s="175"/>
      <c r="P292" s="175"/>
      <c r="Q292" s="175"/>
      <c r="R292" s="175"/>
      <c r="S292" s="175"/>
    </row>
    <row r="293" spans="1:19" ht="14.25" customHeight="1">
      <c r="A293" s="175"/>
      <c r="B293" s="175"/>
      <c r="C293" s="175"/>
      <c r="D293" s="175"/>
      <c r="E293" s="175"/>
      <c r="F293" s="175"/>
      <c r="G293" s="175"/>
      <c r="H293" s="175"/>
      <c r="I293" s="175"/>
      <c r="J293" s="175"/>
      <c r="K293" s="175"/>
      <c r="L293" s="175"/>
      <c r="M293" s="175"/>
      <c r="N293" s="175"/>
      <c r="O293" s="175"/>
      <c r="P293" s="175"/>
      <c r="Q293" s="175"/>
      <c r="R293" s="175"/>
      <c r="S293" s="175"/>
    </row>
    <row r="294" spans="1:19" ht="14.25" customHeight="1">
      <c r="A294" s="175"/>
      <c r="B294" s="175"/>
      <c r="C294" s="175"/>
      <c r="D294" s="175"/>
      <c r="E294" s="175"/>
      <c r="F294" s="175"/>
      <c r="G294" s="175"/>
      <c r="H294" s="175"/>
      <c r="I294" s="175"/>
      <c r="J294" s="175"/>
      <c r="K294" s="175"/>
      <c r="L294" s="175"/>
      <c r="M294" s="175"/>
      <c r="N294" s="175"/>
      <c r="O294" s="175"/>
      <c r="P294" s="175"/>
      <c r="Q294" s="175"/>
      <c r="R294" s="175"/>
      <c r="S294" s="175"/>
    </row>
    <row r="295" spans="1:19" ht="14.25" customHeight="1">
      <c r="A295" s="175"/>
      <c r="B295" s="175"/>
      <c r="C295" s="175"/>
      <c r="D295" s="175"/>
      <c r="E295" s="175"/>
      <c r="F295" s="175"/>
      <c r="G295" s="175"/>
      <c r="H295" s="175"/>
      <c r="I295" s="175"/>
      <c r="J295" s="175"/>
      <c r="K295" s="175"/>
      <c r="L295" s="175"/>
      <c r="M295" s="175"/>
      <c r="N295" s="175"/>
      <c r="O295" s="175"/>
      <c r="P295" s="175"/>
      <c r="Q295" s="175"/>
      <c r="R295" s="175"/>
      <c r="S295" s="175"/>
    </row>
    <row r="296" spans="1:19" ht="14.25" customHeight="1">
      <c r="A296" s="175"/>
      <c r="B296" s="175"/>
      <c r="C296" s="175"/>
      <c r="D296" s="175"/>
      <c r="E296" s="175"/>
      <c r="F296" s="175"/>
      <c r="G296" s="175"/>
      <c r="H296" s="175"/>
      <c r="I296" s="175"/>
      <c r="J296" s="175"/>
      <c r="K296" s="175"/>
      <c r="L296" s="175"/>
      <c r="M296" s="175"/>
      <c r="N296" s="175"/>
      <c r="O296" s="175"/>
      <c r="P296" s="175"/>
      <c r="Q296" s="175"/>
      <c r="R296" s="175"/>
      <c r="S296" s="175"/>
    </row>
    <row r="297" spans="1:19" ht="14.25" customHeight="1">
      <c r="A297" s="175"/>
      <c r="B297" s="175"/>
      <c r="C297" s="175"/>
      <c r="D297" s="175"/>
      <c r="E297" s="175"/>
      <c r="F297" s="175"/>
      <c r="G297" s="175"/>
      <c r="H297" s="175"/>
      <c r="I297" s="175"/>
      <c r="J297" s="175"/>
      <c r="K297" s="175"/>
      <c r="L297" s="175"/>
      <c r="M297" s="175"/>
      <c r="N297" s="175"/>
      <c r="O297" s="175"/>
      <c r="P297" s="175"/>
      <c r="Q297" s="175"/>
      <c r="R297" s="175"/>
      <c r="S297" s="175"/>
    </row>
    <row r="298" spans="1:19" ht="14.25" customHeight="1">
      <c r="A298" s="175"/>
      <c r="B298" s="175"/>
      <c r="C298" s="175"/>
      <c r="D298" s="175"/>
      <c r="E298" s="175"/>
      <c r="F298" s="175"/>
      <c r="G298" s="175"/>
      <c r="H298" s="175"/>
      <c r="I298" s="175"/>
      <c r="J298" s="175"/>
      <c r="K298" s="175"/>
      <c r="L298" s="175"/>
      <c r="M298" s="175"/>
      <c r="N298" s="175"/>
      <c r="O298" s="175"/>
      <c r="P298" s="175"/>
      <c r="Q298" s="175"/>
      <c r="R298" s="175"/>
      <c r="S298" s="175"/>
    </row>
    <row r="299" spans="1:19" ht="14.25" customHeight="1">
      <c r="A299" s="175"/>
      <c r="B299" s="175"/>
      <c r="C299" s="175"/>
      <c r="D299" s="175"/>
      <c r="E299" s="175"/>
      <c r="F299" s="175"/>
      <c r="G299" s="175"/>
      <c r="H299" s="175"/>
      <c r="I299" s="175"/>
      <c r="J299" s="175"/>
      <c r="K299" s="175"/>
      <c r="L299" s="175"/>
      <c r="M299" s="175"/>
      <c r="N299" s="175"/>
      <c r="O299" s="175"/>
      <c r="P299" s="175"/>
      <c r="Q299" s="175"/>
      <c r="R299" s="175"/>
      <c r="S299" s="175"/>
    </row>
    <row r="300" spans="1:19" ht="14.25" customHeight="1">
      <c r="A300" s="175"/>
      <c r="B300" s="175"/>
      <c r="C300" s="175"/>
      <c r="D300" s="175"/>
      <c r="E300" s="175"/>
      <c r="F300" s="175"/>
      <c r="G300" s="175"/>
      <c r="H300" s="175"/>
      <c r="I300" s="175"/>
      <c r="J300" s="175"/>
      <c r="K300" s="175"/>
      <c r="L300" s="175"/>
      <c r="M300" s="175"/>
      <c r="N300" s="175"/>
      <c r="O300" s="175"/>
      <c r="P300" s="175"/>
      <c r="Q300" s="175"/>
      <c r="R300" s="175"/>
      <c r="S300" s="175"/>
    </row>
    <row r="301" spans="1:19" ht="14.25" customHeight="1">
      <c r="A301" s="175"/>
      <c r="B301" s="175"/>
      <c r="C301" s="175"/>
      <c r="D301" s="175"/>
      <c r="E301" s="175"/>
      <c r="F301" s="175"/>
      <c r="G301" s="175"/>
      <c r="H301" s="175"/>
      <c r="I301" s="175"/>
      <c r="J301" s="175"/>
      <c r="K301" s="175"/>
      <c r="L301" s="175"/>
      <c r="M301" s="175"/>
      <c r="N301" s="175"/>
      <c r="O301" s="175"/>
      <c r="P301" s="175"/>
      <c r="Q301" s="175"/>
      <c r="R301" s="175"/>
      <c r="S301" s="175"/>
    </row>
    <row r="302" spans="1:19" ht="14.25" customHeight="1">
      <c r="A302" s="175"/>
      <c r="B302" s="175"/>
      <c r="C302" s="175"/>
      <c r="D302" s="175"/>
      <c r="E302" s="175"/>
      <c r="F302" s="175"/>
      <c r="G302" s="175"/>
      <c r="H302" s="175"/>
      <c r="I302" s="175"/>
      <c r="J302" s="175"/>
      <c r="K302" s="175"/>
      <c r="L302" s="175"/>
      <c r="M302" s="175"/>
      <c r="N302" s="175"/>
      <c r="O302" s="175"/>
      <c r="P302" s="175"/>
      <c r="Q302" s="175"/>
      <c r="R302" s="175"/>
      <c r="S302" s="175"/>
    </row>
    <row r="303" spans="1:19" ht="14.25" customHeight="1">
      <c r="A303" s="175"/>
      <c r="B303" s="175"/>
      <c r="C303" s="175"/>
      <c r="D303" s="175"/>
      <c r="E303" s="175"/>
      <c r="F303" s="175"/>
      <c r="G303" s="175"/>
      <c r="H303" s="175"/>
      <c r="I303" s="175"/>
      <c r="J303" s="175"/>
      <c r="K303" s="175"/>
      <c r="L303" s="175"/>
      <c r="M303" s="175"/>
      <c r="N303" s="175"/>
      <c r="O303" s="175"/>
      <c r="P303" s="175"/>
      <c r="Q303" s="175"/>
      <c r="R303" s="175"/>
      <c r="S303" s="175"/>
    </row>
    <row r="304" spans="1:19" ht="14.25" customHeight="1">
      <c r="A304" s="175"/>
      <c r="B304" s="175"/>
      <c r="C304" s="175"/>
      <c r="D304" s="175"/>
      <c r="E304" s="175"/>
      <c r="F304" s="175"/>
      <c r="G304" s="175"/>
      <c r="H304" s="175"/>
      <c r="I304" s="175"/>
      <c r="J304" s="175"/>
      <c r="K304" s="175"/>
      <c r="L304" s="175"/>
      <c r="M304" s="175"/>
      <c r="N304" s="175"/>
      <c r="O304" s="175"/>
      <c r="P304" s="175"/>
      <c r="Q304" s="175"/>
      <c r="R304" s="175"/>
      <c r="S304" s="175"/>
    </row>
    <row r="305" spans="1:19" ht="14.25" customHeight="1">
      <c r="A305" s="175"/>
      <c r="B305" s="175"/>
      <c r="C305" s="175"/>
      <c r="D305" s="175"/>
      <c r="E305" s="175"/>
      <c r="F305" s="175"/>
      <c r="G305" s="175"/>
      <c r="H305" s="175"/>
      <c r="I305" s="175"/>
      <c r="J305" s="175"/>
      <c r="K305" s="175"/>
      <c r="L305" s="175"/>
      <c r="M305" s="175"/>
      <c r="N305" s="175"/>
      <c r="O305" s="175"/>
      <c r="P305" s="175"/>
      <c r="Q305" s="175"/>
      <c r="R305" s="175"/>
      <c r="S305" s="175"/>
    </row>
    <row r="306" spans="1:19" ht="14.25" customHeight="1">
      <c r="A306" s="175"/>
      <c r="B306" s="175"/>
      <c r="C306" s="175"/>
      <c r="D306" s="175"/>
      <c r="E306" s="175"/>
      <c r="F306" s="175"/>
      <c r="G306" s="175"/>
      <c r="H306" s="175"/>
      <c r="I306" s="175"/>
      <c r="J306" s="175"/>
      <c r="K306" s="175"/>
      <c r="L306" s="175"/>
      <c r="M306" s="175"/>
      <c r="N306" s="175"/>
      <c r="O306" s="175"/>
      <c r="P306" s="175"/>
      <c r="Q306" s="175"/>
      <c r="R306" s="175"/>
      <c r="S306" s="175"/>
    </row>
    <row r="307" spans="1:19" ht="14.25" customHeight="1">
      <c r="A307" s="175"/>
      <c r="B307" s="175"/>
      <c r="C307" s="175"/>
      <c r="D307" s="175"/>
      <c r="E307" s="175"/>
      <c r="F307" s="175"/>
      <c r="G307" s="175"/>
      <c r="H307" s="175"/>
      <c r="I307" s="175"/>
      <c r="J307" s="175"/>
      <c r="K307" s="175"/>
      <c r="L307" s="175"/>
      <c r="M307" s="175"/>
      <c r="N307" s="175"/>
      <c r="O307" s="175"/>
      <c r="P307" s="175"/>
      <c r="Q307" s="175"/>
      <c r="R307" s="175"/>
      <c r="S307" s="175"/>
    </row>
    <row r="308" spans="1:19" ht="14.25" customHeight="1">
      <c r="A308" s="175"/>
      <c r="B308" s="175"/>
      <c r="C308" s="175"/>
      <c r="D308" s="175"/>
      <c r="E308" s="175"/>
      <c r="F308" s="175"/>
      <c r="G308" s="175"/>
      <c r="H308" s="175"/>
      <c r="I308" s="175"/>
      <c r="J308" s="175"/>
      <c r="K308" s="175"/>
      <c r="L308" s="175"/>
      <c r="M308" s="175"/>
      <c r="N308" s="175"/>
      <c r="O308" s="175"/>
      <c r="P308" s="175"/>
      <c r="Q308" s="175"/>
      <c r="R308" s="175"/>
      <c r="S308" s="175"/>
    </row>
    <row r="309" spans="1:19" ht="14.25" customHeight="1">
      <c r="A309" s="175"/>
      <c r="B309" s="175"/>
      <c r="C309" s="175"/>
      <c r="D309" s="175"/>
      <c r="E309" s="175"/>
      <c r="F309" s="175"/>
      <c r="G309" s="175"/>
      <c r="H309" s="175"/>
      <c r="I309" s="175"/>
      <c r="J309" s="175"/>
      <c r="K309" s="175"/>
      <c r="L309" s="175"/>
      <c r="M309" s="175"/>
      <c r="N309" s="175"/>
      <c r="O309" s="175"/>
      <c r="P309" s="175"/>
      <c r="Q309" s="175"/>
      <c r="R309" s="175"/>
      <c r="S309" s="175"/>
    </row>
    <row r="310" spans="1:19" ht="14.25" customHeight="1">
      <c r="A310" s="175"/>
      <c r="B310" s="175"/>
      <c r="C310" s="175"/>
      <c r="D310" s="175"/>
      <c r="E310" s="175"/>
      <c r="F310" s="175"/>
      <c r="G310" s="175"/>
      <c r="H310" s="175"/>
      <c r="I310" s="175"/>
      <c r="J310" s="175"/>
      <c r="K310" s="175"/>
      <c r="L310" s="175"/>
      <c r="M310" s="175"/>
      <c r="N310" s="175"/>
      <c r="O310" s="175"/>
      <c r="P310" s="175"/>
      <c r="Q310" s="175"/>
      <c r="R310" s="175"/>
      <c r="S310" s="175"/>
    </row>
    <row r="311" spans="1:19" ht="14.25" customHeight="1">
      <c r="A311" s="175"/>
      <c r="B311" s="175"/>
      <c r="C311" s="175"/>
      <c r="D311" s="175"/>
      <c r="E311" s="175"/>
      <c r="F311" s="175"/>
      <c r="G311" s="175"/>
      <c r="H311" s="175"/>
      <c r="I311" s="175"/>
      <c r="J311" s="175"/>
      <c r="K311" s="175"/>
      <c r="L311" s="175"/>
      <c r="M311" s="175"/>
      <c r="N311" s="175"/>
      <c r="O311" s="175"/>
      <c r="P311" s="175"/>
      <c r="Q311" s="175"/>
      <c r="R311" s="175"/>
      <c r="S311" s="175"/>
    </row>
    <row r="312" spans="1:19" ht="14.25" customHeight="1">
      <c r="A312" s="175"/>
      <c r="B312" s="175"/>
      <c r="C312" s="175"/>
      <c r="D312" s="175"/>
      <c r="E312" s="175"/>
      <c r="F312" s="175"/>
      <c r="G312" s="175"/>
      <c r="H312" s="175"/>
      <c r="I312" s="175"/>
      <c r="J312" s="175"/>
      <c r="K312" s="175"/>
      <c r="L312" s="175"/>
      <c r="M312" s="175"/>
      <c r="N312" s="175"/>
      <c r="O312" s="175"/>
      <c r="P312" s="175"/>
      <c r="Q312" s="175"/>
      <c r="R312" s="175"/>
      <c r="S312" s="175"/>
    </row>
    <row r="313" spans="1:19" ht="14.25" customHeight="1">
      <c r="A313" s="175"/>
      <c r="B313" s="175"/>
      <c r="C313" s="175"/>
      <c r="D313" s="175"/>
      <c r="E313" s="175"/>
      <c r="F313" s="175"/>
      <c r="G313" s="175"/>
      <c r="H313" s="175"/>
      <c r="I313" s="175"/>
      <c r="J313" s="175"/>
      <c r="K313" s="175"/>
      <c r="L313" s="175"/>
      <c r="M313" s="175"/>
      <c r="N313" s="175"/>
      <c r="O313" s="175"/>
      <c r="P313" s="175"/>
      <c r="Q313" s="175"/>
      <c r="R313" s="175"/>
      <c r="S313" s="175"/>
    </row>
    <row r="314" spans="1:19" ht="14.25" customHeight="1">
      <c r="A314" s="175"/>
      <c r="B314" s="175"/>
      <c r="C314" s="175"/>
      <c r="D314" s="175"/>
      <c r="E314" s="175"/>
      <c r="F314" s="175"/>
      <c r="G314" s="175"/>
      <c r="H314" s="175"/>
      <c r="I314" s="175"/>
      <c r="J314" s="175"/>
      <c r="K314" s="175"/>
      <c r="L314" s="175"/>
      <c r="M314" s="175"/>
      <c r="N314" s="175"/>
      <c r="O314" s="175"/>
      <c r="P314" s="175"/>
      <c r="Q314" s="175"/>
      <c r="R314" s="175"/>
      <c r="S314" s="175"/>
    </row>
    <row r="315" spans="1:19" ht="14.25" customHeight="1">
      <c r="A315" s="175"/>
      <c r="B315" s="175"/>
      <c r="C315" s="175"/>
      <c r="D315" s="175"/>
      <c r="E315" s="175"/>
      <c r="F315" s="175"/>
      <c r="G315" s="175"/>
      <c r="H315" s="175"/>
      <c r="I315" s="175"/>
      <c r="J315" s="175"/>
      <c r="K315" s="175"/>
      <c r="L315" s="175"/>
      <c r="M315" s="175"/>
      <c r="N315" s="175"/>
      <c r="O315" s="175"/>
      <c r="P315" s="175"/>
      <c r="Q315" s="175"/>
      <c r="R315" s="175"/>
      <c r="S315" s="175"/>
    </row>
    <row r="316" spans="1:19" ht="14.25" customHeight="1">
      <c r="A316" s="175"/>
      <c r="B316" s="175"/>
      <c r="C316" s="175"/>
      <c r="D316" s="175"/>
      <c r="E316" s="175"/>
      <c r="F316" s="175"/>
      <c r="G316" s="175"/>
      <c r="H316" s="175"/>
      <c r="I316" s="175"/>
      <c r="J316" s="175"/>
      <c r="K316" s="175"/>
      <c r="L316" s="175"/>
      <c r="M316" s="175"/>
      <c r="N316" s="175"/>
      <c r="O316" s="175"/>
      <c r="P316" s="175"/>
      <c r="Q316" s="175"/>
      <c r="R316" s="175"/>
      <c r="S316" s="175"/>
    </row>
    <row r="317" spans="1:19" ht="14.25" customHeight="1">
      <c r="A317" s="175"/>
      <c r="B317" s="175"/>
      <c r="C317" s="175"/>
      <c r="D317" s="175"/>
      <c r="E317" s="175"/>
      <c r="F317" s="175"/>
      <c r="G317" s="175"/>
      <c r="H317" s="175"/>
      <c r="I317" s="175"/>
      <c r="J317" s="175"/>
      <c r="K317" s="175"/>
      <c r="L317" s="175"/>
      <c r="M317" s="175"/>
      <c r="N317" s="175"/>
      <c r="O317" s="175"/>
      <c r="P317" s="175"/>
      <c r="Q317" s="175"/>
      <c r="R317" s="175"/>
      <c r="S317" s="175"/>
    </row>
    <row r="318" spans="1:19" ht="14.25" customHeight="1">
      <c r="A318" s="175"/>
      <c r="B318" s="175"/>
      <c r="C318" s="175"/>
      <c r="D318" s="175"/>
      <c r="E318" s="175"/>
      <c r="F318" s="175"/>
      <c r="G318" s="175"/>
      <c r="H318" s="175"/>
      <c r="I318" s="175"/>
      <c r="J318" s="175"/>
      <c r="K318" s="175"/>
      <c r="L318" s="175"/>
      <c r="M318" s="175"/>
      <c r="N318" s="175"/>
      <c r="O318" s="175"/>
      <c r="P318" s="175"/>
      <c r="Q318" s="175"/>
      <c r="R318" s="175"/>
      <c r="S318" s="175"/>
    </row>
    <row r="319" spans="1:19" ht="14.25" customHeight="1">
      <c r="A319" s="175"/>
      <c r="B319" s="175"/>
      <c r="C319" s="175"/>
      <c r="D319" s="175"/>
      <c r="E319" s="175"/>
      <c r="F319" s="175"/>
      <c r="G319" s="175"/>
      <c r="H319" s="175"/>
      <c r="I319" s="175"/>
      <c r="J319" s="175"/>
      <c r="K319" s="175"/>
      <c r="L319" s="175"/>
      <c r="M319" s="175"/>
      <c r="N319" s="175"/>
      <c r="O319" s="175"/>
      <c r="P319" s="175"/>
      <c r="Q319" s="175"/>
      <c r="R319" s="175"/>
      <c r="S319" s="175"/>
    </row>
    <row r="320" spans="1:19" ht="14.25" customHeight="1">
      <c r="A320" s="175"/>
      <c r="B320" s="175"/>
      <c r="C320" s="175"/>
      <c r="D320" s="175"/>
      <c r="E320" s="175"/>
      <c r="F320" s="175"/>
      <c r="G320" s="175"/>
      <c r="H320" s="175"/>
      <c r="I320" s="175"/>
      <c r="J320" s="175"/>
      <c r="K320" s="175"/>
      <c r="L320" s="175"/>
      <c r="M320" s="175"/>
      <c r="N320" s="175"/>
      <c r="O320" s="175"/>
      <c r="P320" s="175"/>
      <c r="Q320" s="175"/>
      <c r="R320" s="175"/>
      <c r="S320" s="175"/>
    </row>
    <row r="321" spans="1:19" ht="14.25" customHeight="1">
      <c r="A321" s="175"/>
      <c r="B321" s="175"/>
      <c r="C321" s="175"/>
      <c r="D321" s="175"/>
      <c r="E321" s="175"/>
      <c r="F321" s="175"/>
      <c r="G321" s="175"/>
      <c r="H321" s="175"/>
      <c r="I321" s="175"/>
      <c r="J321" s="175"/>
      <c r="K321" s="175"/>
      <c r="L321" s="175"/>
      <c r="M321" s="175"/>
      <c r="N321" s="175"/>
      <c r="O321" s="175"/>
      <c r="P321" s="175"/>
      <c r="Q321" s="175"/>
      <c r="R321" s="175"/>
      <c r="S321" s="175"/>
    </row>
    <row r="322" spans="1:19" ht="14.25" customHeight="1">
      <c r="A322" s="175"/>
      <c r="B322" s="175"/>
      <c r="C322" s="175"/>
      <c r="D322" s="175"/>
      <c r="E322" s="175"/>
      <c r="F322" s="175"/>
      <c r="G322" s="175"/>
      <c r="H322" s="175"/>
      <c r="I322" s="175"/>
      <c r="J322" s="175"/>
      <c r="K322" s="175"/>
      <c r="L322" s="175"/>
      <c r="M322" s="175"/>
      <c r="N322" s="175"/>
      <c r="O322" s="175"/>
      <c r="P322" s="175"/>
      <c r="Q322" s="175"/>
      <c r="R322" s="175"/>
      <c r="S322" s="175"/>
    </row>
    <row r="323" spans="1:19" ht="14.25" customHeight="1">
      <c r="A323" s="175"/>
      <c r="B323" s="175"/>
      <c r="C323" s="175"/>
      <c r="D323" s="175"/>
      <c r="E323" s="175"/>
      <c r="F323" s="175"/>
      <c r="G323" s="175"/>
      <c r="H323" s="175"/>
      <c r="I323" s="175"/>
      <c r="J323" s="175"/>
      <c r="K323" s="175"/>
      <c r="L323" s="175"/>
      <c r="M323" s="175"/>
      <c r="N323" s="175"/>
      <c r="O323" s="175"/>
      <c r="P323" s="175"/>
      <c r="Q323" s="175"/>
      <c r="R323" s="175"/>
      <c r="S323" s="175"/>
    </row>
    <row r="324" spans="1:19" ht="14.25" customHeight="1">
      <c r="A324" s="175"/>
      <c r="B324" s="175"/>
      <c r="C324" s="175"/>
      <c r="D324" s="175"/>
      <c r="E324" s="175"/>
      <c r="F324" s="175"/>
      <c r="G324" s="175"/>
      <c r="H324" s="175"/>
      <c r="I324" s="175"/>
      <c r="J324" s="175"/>
      <c r="K324" s="175"/>
      <c r="L324" s="175"/>
      <c r="M324" s="175"/>
      <c r="N324" s="175"/>
      <c r="O324" s="175"/>
      <c r="P324" s="175"/>
      <c r="Q324" s="175"/>
      <c r="R324" s="175"/>
      <c r="S324" s="175"/>
    </row>
    <row r="325" spans="1:19" ht="14.25" customHeight="1">
      <c r="A325" s="175"/>
      <c r="B325" s="175"/>
      <c r="C325" s="175"/>
      <c r="D325" s="175"/>
      <c r="E325" s="175"/>
      <c r="F325" s="175"/>
      <c r="G325" s="175"/>
      <c r="H325" s="175"/>
      <c r="I325" s="175"/>
      <c r="J325" s="175"/>
      <c r="K325" s="175"/>
      <c r="L325" s="175"/>
      <c r="M325" s="175"/>
      <c r="N325" s="175"/>
      <c r="O325" s="175"/>
      <c r="P325" s="175"/>
      <c r="Q325" s="175"/>
      <c r="R325" s="175"/>
      <c r="S325" s="175"/>
    </row>
    <row r="326" spans="1:19" ht="14.25" customHeight="1">
      <c r="A326" s="175"/>
      <c r="B326" s="175"/>
      <c r="C326" s="175"/>
      <c r="D326" s="175"/>
      <c r="E326" s="175"/>
      <c r="F326" s="175"/>
      <c r="G326" s="175"/>
      <c r="H326" s="175"/>
      <c r="I326" s="175"/>
      <c r="J326" s="175"/>
      <c r="K326" s="175"/>
      <c r="L326" s="175"/>
      <c r="M326" s="175"/>
      <c r="N326" s="175"/>
      <c r="O326" s="175"/>
      <c r="P326" s="175"/>
      <c r="Q326" s="175"/>
      <c r="R326" s="175"/>
      <c r="S326" s="175"/>
    </row>
    <row r="327" spans="1:19" ht="14.25" customHeight="1">
      <c r="A327" s="175"/>
      <c r="B327" s="175"/>
      <c r="C327" s="175"/>
      <c r="D327" s="175"/>
      <c r="E327" s="175"/>
      <c r="F327" s="175"/>
      <c r="G327" s="175"/>
      <c r="H327" s="175"/>
      <c r="I327" s="175"/>
      <c r="J327" s="175"/>
      <c r="K327" s="175"/>
      <c r="L327" s="175"/>
      <c r="M327" s="175"/>
      <c r="N327" s="175"/>
      <c r="O327" s="175"/>
      <c r="P327" s="175"/>
      <c r="Q327" s="175"/>
      <c r="R327" s="175"/>
      <c r="S327" s="175"/>
    </row>
    <row r="328" spans="1:19" ht="14.25" customHeight="1">
      <c r="A328" s="175"/>
      <c r="B328" s="175"/>
      <c r="C328" s="175"/>
      <c r="D328" s="175"/>
      <c r="E328" s="175"/>
      <c r="F328" s="175"/>
      <c r="G328" s="175"/>
      <c r="H328" s="175"/>
      <c r="I328" s="175"/>
      <c r="J328" s="175"/>
      <c r="K328" s="175"/>
      <c r="L328" s="175"/>
      <c r="M328" s="175"/>
      <c r="N328" s="175"/>
      <c r="O328" s="175"/>
      <c r="P328" s="175"/>
      <c r="Q328" s="175"/>
      <c r="R328" s="175"/>
      <c r="S328" s="175"/>
    </row>
    <row r="329" spans="1:19" ht="14.25" customHeight="1">
      <c r="A329" s="175"/>
      <c r="B329" s="175"/>
      <c r="C329" s="175"/>
      <c r="D329" s="175"/>
      <c r="E329" s="175"/>
      <c r="F329" s="175"/>
      <c r="G329" s="175"/>
      <c r="H329" s="175"/>
      <c r="I329" s="175"/>
      <c r="J329" s="175"/>
      <c r="K329" s="175"/>
      <c r="L329" s="175"/>
      <c r="M329" s="175"/>
      <c r="N329" s="175"/>
      <c r="O329" s="175"/>
      <c r="P329" s="175"/>
      <c r="Q329" s="175"/>
      <c r="R329" s="175"/>
      <c r="S329" s="175"/>
    </row>
    <row r="330" spans="1:19" ht="14.25" customHeight="1">
      <c r="A330" s="175"/>
      <c r="B330" s="175"/>
      <c r="C330" s="175"/>
      <c r="D330" s="175"/>
      <c r="E330" s="175"/>
      <c r="F330" s="175"/>
      <c r="G330" s="175"/>
      <c r="H330" s="175"/>
      <c r="I330" s="175"/>
      <c r="J330" s="175"/>
      <c r="K330" s="175"/>
      <c r="L330" s="175"/>
      <c r="M330" s="175"/>
      <c r="N330" s="175"/>
      <c r="O330" s="175"/>
      <c r="P330" s="175"/>
      <c r="Q330" s="175"/>
      <c r="R330" s="175"/>
      <c r="S330" s="175"/>
    </row>
    <row r="331" spans="1:19" ht="14.25" customHeight="1">
      <c r="A331" s="175"/>
      <c r="B331" s="175"/>
      <c r="C331" s="175"/>
      <c r="D331" s="175"/>
      <c r="E331" s="175"/>
      <c r="F331" s="175"/>
      <c r="G331" s="175"/>
      <c r="H331" s="175"/>
      <c r="I331" s="175"/>
      <c r="J331" s="175"/>
      <c r="K331" s="175"/>
      <c r="L331" s="175"/>
      <c r="M331" s="175"/>
      <c r="N331" s="175"/>
      <c r="O331" s="175"/>
      <c r="P331" s="175"/>
      <c r="Q331" s="175"/>
      <c r="R331" s="175"/>
      <c r="S331" s="175"/>
    </row>
    <row r="332" spans="1:19" ht="14.25" customHeight="1">
      <c r="A332" s="175"/>
      <c r="B332" s="175"/>
      <c r="C332" s="175"/>
      <c r="D332" s="175"/>
      <c r="E332" s="175"/>
      <c r="F332" s="175"/>
      <c r="G332" s="175"/>
      <c r="H332" s="175"/>
      <c r="I332" s="175"/>
      <c r="J332" s="175"/>
      <c r="K332" s="175"/>
      <c r="L332" s="175"/>
      <c r="M332" s="175"/>
      <c r="N332" s="175"/>
      <c r="O332" s="175"/>
      <c r="P332" s="175"/>
      <c r="Q332" s="175"/>
      <c r="R332" s="175"/>
      <c r="S332" s="175"/>
    </row>
    <row r="333" spans="1:19" ht="14.25" customHeight="1">
      <c r="A333" s="175"/>
      <c r="B333" s="175"/>
      <c r="C333" s="175"/>
      <c r="D333" s="175"/>
      <c r="E333" s="175"/>
      <c r="F333" s="175"/>
      <c r="G333" s="175"/>
      <c r="H333" s="175"/>
      <c r="I333" s="175"/>
      <c r="J333" s="175"/>
      <c r="K333" s="175"/>
      <c r="L333" s="175"/>
      <c r="M333" s="175"/>
      <c r="N333" s="175"/>
      <c r="O333" s="175"/>
      <c r="P333" s="175"/>
      <c r="Q333" s="175"/>
      <c r="R333" s="175"/>
      <c r="S333" s="175"/>
    </row>
    <row r="334" spans="1:19" ht="14.25" customHeight="1">
      <c r="A334" s="175"/>
      <c r="B334" s="175"/>
      <c r="C334" s="175"/>
      <c r="D334" s="175"/>
      <c r="E334" s="175"/>
      <c r="F334" s="175"/>
      <c r="G334" s="175"/>
      <c r="H334" s="175"/>
      <c r="I334" s="175"/>
      <c r="J334" s="175"/>
      <c r="K334" s="175"/>
      <c r="L334" s="175"/>
      <c r="M334" s="175"/>
      <c r="N334" s="175"/>
      <c r="O334" s="175"/>
      <c r="P334" s="175"/>
      <c r="Q334" s="175"/>
      <c r="R334" s="175"/>
      <c r="S334" s="175"/>
    </row>
    <row r="335" spans="1:19" ht="14.25" customHeight="1">
      <c r="A335" s="175"/>
      <c r="B335" s="175"/>
      <c r="C335" s="175"/>
      <c r="D335" s="175"/>
      <c r="E335" s="175"/>
      <c r="F335" s="175"/>
      <c r="G335" s="175"/>
      <c r="H335" s="175"/>
      <c r="I335" s="175"/>
      <c r="J335" s="175"/>
      <c r="K335" s="175"/>
      <c r="L335" s="175"/>
      <c r="M335" s="175"/>
      <c r="N335" s="175"/>
      <c r="O335" s="175"/>
      <c r="P335" s="175"/>
      <c r="Q335" s="175"/>
      <c r="R335" s="175"/>
      <c r="S335" s="175"/>
    </row>
    <row r="336" spans="1:19" ht="14.25" customHeight="1">
      <c r="A336" s="175"/>
      <c r="B336" s="175"/>
      <c r="C336" s="175"/>
      <c r="D336" s="175"/>
      <c r="E336" s="175"/>
      <c r="F336" s="175"/>
      <c r="G336" s="175"/>
      <c r="H336" s="175"/>
      <c r="I336" s="175"/>
      <c r="J336" s="175"/>
      <c r="K336" s="175"/>
      <c r="L336" s="175"/>
      <c r="M336" s="175"/>
      <c r="N336" s="175"/>
      <c r="O336" s="175"/>
      <c r="P336" s="175"/>
      <c r="Q336" s="175"/>
      <c r="R336" s="175"/>
      <c r="S336" s="175"/>
    </row>
    <row r="337" spans="1:19" ht="14.25" customHeight="1">
      <c r="A337" s="175"/>
      <c r="B337" s="175"/>
      <c r="C337" s="175"/>
      <c r="D337" s="175"/>
      <c r="E337" s="175"/>
      <c r="F337" s="175"/>
      <c r="G337" s="175"/>
      <c r="H337" s="175"/>
      <c r="I337" s="175"/>
      <c r="J337" s="175"/>
      <c r="K337" s="175"/>
      <c r="L337" s="175"/>
      <c r="M337" s="175"/>
      <c r="N337" s="175"/>
      <c r="O337" s="175"/>
      <c r="P337" s="175"/>
      <c r="Q337" s="175"/>
      <c r="R337" s="175"/>
      <c r="S337" s="175"/>
    </row>
    <row r="338" spans="1:19" ht="14.25" customHeight="1">
      <c r="A338" s="175"/>
      <c r="B338" s="175"/>
      <c r="C338" s="175"/>
      <c r="D338" s="175"/>
      <c r="E338" s="175"/>
      <c r="F338" s="175"/>
      <c r="G338" s="175"/>
      <c r="H338" s="175"/>
      <c r="I338" s="175"/>
      <c r="J338" s="175"/>
      <c r="K338" s="175"/>
      <c r="L338" s="175"/>
      <c r="M338" s="175"/>
      <c r="N338" s="175"/>
      <c r="O338" s="175"/>
      <c r="P338" s="175"/>
      <c r="Q338" s="175"/>
      <c r="R338" s="175"/>
      <c r="S338" s="175"/>
    </row>
    <row r="339" spans="1:19" ht="14.25" customHeight="1">
      <c r="A339" s="175"/>
      <c r="B339" s="175"/>
      <c r="C339" s="175"/>
      <c r="D339" s="175"/>
      <c r="E339" s="175"/>
      <c r="F339" s="175"/>
      <c r="G339" s="175"/>
      <c r="H339" s="175"/>
      <c r="I339" s="175"/>
      <c r="J339" s="175"/>
      <c r="K339" s="175"/>
      <c r="L339" s="175"/>
      <c r="M339" s="175"/>
      <c r="N339" s="175"/>
      <c r="O339" s="175"/>
      <c r="P339" s="175"/>
      <c r="Q339" s="175"/>
      <c r="R339" s="175"/>
      <c r="S339" s="175"/>
    </row>
    <row r="340" spans="1:19" ht="14.25" customHeight="1">
      <c r="A340" s="175"/>
      <c r="B340" s="175"/>
      <c r="C340" s="175"/>
      <c r="D340" s="175"/>
      <c r="E340" s="175"/>
      <c r="F340" s="175"/>
      <c r="G340" s="175"/>
      <c r="H340" s="175"/>
      <c r="I340" s="175"/>
      <c r="J340" s="175"/>
      <c r="K340" s="175"/>
      <c r="L340" s="175"/>
      <c r="M340" s="175"/>
      <c r="N340" s="175"/>
      <c r="O340" s="175"/>
      <c r="P340" s="175"/>
      <c r="Q340" s="175"/>
      <c r="R340" s="175"/>
      <c r="S340" s="175"/>
    </row>
    <row r="341" spans="1:19" ht="14.25" customHeight="1">
      <c r="A341" s="175"/>
      <c r="B341" s="175"/>
      <c r="C341" s="175"/>
      <c r="D341" s="175"/>
      <c r="E341" s="175"/>
      <c r="F341" s="175"/>
      <c r="G341" s="175"/>
      <c r="H341" s="175"/>
      <c r="I341" s="175"/>
      <c r="J341" s="175"/>
      <c r="K341" s="175"/>
      <c r="L341" s="175"/>
      <c r="M341" s="175"/>
      <c r="N341" s="175"/>
      <c r="O341" s="175"/>
      <c r="P341" s="175"/>
      <c r="Q341" s="175"/>
      <c r="R341" s="175"/>
      <c r="S341" s="175"/>
    </row>
    <row r="342" spans="1:19" ht="14.25" customHeight="1">
      <c r="A342" s="175"/>
      <c r="B342" s="175"/>
      <c r="C342" s="175"/>
      <c r="D342" s="175"/>
      <c r="E342" s="175"/>
      <c r="F342" s="175"/>
      <c r="G342" s="175"/>
      <c r="H342" s="175"/>
      <c r="I342" s="175"/>
      <c r="J342" s="175"/>
      <c r="K342" s="175"/>
      <c r="L342" s="175"/>
      <c r="M342" s="175"/>
      <c r="N342" s="175"/>
      <c r="O342" s="175"/>
      <c r="P342" s="175"/>
      <c r="Q342" s="175"/>
      <c r="R342" s="175"/>
      <c r="S342" s="175"/>
    </row>
    <row r="343" spans="1:19" ht="14.25" customHeight="1">
      <c r="A343" s="175"/>
      <c r="B343" s="175"/>
      <c r="C343" s="175"/>
      <c r="D343" s="175"/>
      <c r="E343" s="175"/>
      <c r="F343" s="175"/>
      <c r="G343" s="175"/>
      <c r="H343" s="175"/>
      <c r="I343" s="175"/>
      <c r="J343" s="175"/>
      <c r="K343" s="175"/>
      <c r="L343" s="175"/>
      <c r="M343" s="175"/>
      <c r="N343" s="175"/>
      <c r="O343" s="175"/>
      <c r="P343" s="175"/>
      <c r="Q343" s="175"/>
      <c r="R343" s="175"/>
      <c r="S343" s="175"/>
    </row>
    <row r="344" spans="1:19" ht="14.25" customHeight="1">
      <c r="A344" s="175"/>
      <c r="B344" s="175"/>
      <c r="C344" s="175"/>
      <c r="D344" s="175"/>
      <c r="E344" s="175"/>
      <c r="F344" s="175"/>
      <c r="G344" s="175"/>
      <c r="H344" s="175"/>
      <c r="I344" s="175"/>
      <c r="J344" s="175"/>
      <c r="K344" s="175"/>
      <c r="L344" s="175"/>
      <c r="M344" s="175"/>
      <c r="N344" s="175"/>
      <c r="O344" s="175"/>
      <c r="P344" s="175"/>
      <c r="Q344" s="175"/>
      <c r="R344" s="175"/>
      <c r="S344" s="175"/>
    </row>
    <row r="345" spans="1:19" ht="14.25" customHeight="1">
      <c r="A345" s="175"/>
      <c r="B345" s="175"/>
      <c r="C345" s="175"/>
      <c r="D345" s="175"/>
      <c r="E345" s="175"/>
      <c r="F345" s="175"/>
      <c r="G345" s="175"/>
      <c r="H345" s="175"/>
      <c r="I345" s="175"/>
      <c r="J345" s="175"/>
      <c r="K345" s="175"/>
      <c r="L345" s="175"/>
      <c r="M345" s="175"/>
      <c r="N345" s="175"/>
      <c r="O345" s="175"/>
      <c r="P345" s="175"/>
      <c r="Q345" s="175"/>
      <c r="R345" s="175"/>
      <c r="S345" s="175"/>
    </row>
    <row r="346" spans="1:19" ht="14.25" customHeight="1">
      <c r="A346" s="175"/>
      <c r="B346" s="175"/>
      <c r="C346" s="175"/>
      <c r="D346" s="175"/>
      <c r="E346" s="175"/>
      <c r="F346" s="175"/>
      <c r="G346" s="175"/>
      <c r="H346" s="175"/>
      <c r="I346" s="175"/>
      <c r="J346" s="175"/>
      <c r="K346" s="175"/>
      <c r="L346" s="175"/>
      <c r="M346" s="175"/>
      <c r="N346" s="175"/>
      <c r="O346" s="175"/>
      <c r="P346" s="175"/>
      <c r="Q346" s="175"/>
      <c r="R346" s="175"/>
      <c r="S346" s="175"/>
    </row>
    <row r="347" spans="1:19" ht="14.25" customHeight="1">
      <c r="A347" s="175"/>
      <c r="B347" s="175"/>
      <c r="C347" s="175"/>
      <c r="D347" s="175"/>
      <c r="E347" s="175"/>
      <c r="F347" s="175"/>
      <c r="G347" s="175"/>
      <c r="H347" s="175"/>
      <c r="I347" s="175"/>
      <c r="J347" s="175"/>
      <c r="K347" s="175"/>
      <c r="L347" s="175"/>
      <c r="M347" s="175"/>
      <c r="N347" s="175"/>
      <c r="O347" s="175"/>
      <c r="P347" s="175"/>
      <c r="Q347" s="175"/>
      <c r="R347" s="175"/>
      <c r="S347" s="175"/>
    </row>
    <row r="348" spans="1:19" ht="14.25" customHeight="1">
      <c r="A348" s="175"/>
      <c r="B348" s="175"/>
      <c r="C348" s="175"/>
      <c r="D348" s="175"/>
      <c r="E348" s="175"/>
      <c r="F348" s="175"/>
      <c r="G348" s="175"/>
      <c r="H348" s="175"/>
      <c r="I348" s="175"/>
      <c r="J348" s="175"/>
      <c r="K348" s="175"/>
      <c r="L348" s="175"/>
      <c r="M348" s="175"/>
      <c r="N348" s="175"/>
      <c r="O348" s="175"/>
      <c r="P348" s="175"/>
      <c r="Q348" s="175"/>
      <c r="R348" s="175"/>
      <c r="S348" s="175"/>
    </row>
    <row r="349" spans="1:19" ht="14.25" customHeight="1">
      <c r="A349" s="175"/>
      <c r="B349" s="175"/>
      <c r="C349" s="175"/>
      <c r="D349" s="175"/>
      <c r="E349" s="175"/>
      <c r="F349" s="175"/>
      <c r="G349" s="175"/>
      <c r="H349" s="175"/>
      <c r="I349" s="175"/>
      <c r="J349" s="175"/>
      <c r="K349" s="175"/>
      <c r="L349" s="175"/>
      <c r="M349" s="175"/>
      <c r="N349" s="175"/>
      <c r="O349" s="175"/>
      <c r="P349" s="175"/>
      <c r="Q349" s="175"/>
      <c r="R349" s="175"/>
      <c r="S349" s="175"/>
    </row>
    <row r="350" spans="1:19" ht="14.25" customHeight="1">
      <c r="A350" s="175"/>
      <c r="B350" s="175"/>
      <c r="C350" s="175"/>
      <c r="D350" s="175"/>
      <c r="E350" s="175"/>
      <c r="F350" s="175"/>
      <c r="G350" s="175"/>
      <c r="H350" s="175"/>
      <c r="I350" s="175"/>
      <c r="J350" s="175"/>
      <c r="K350" s="175"/>
      <c r="L350" s="175"/>
      <c r="M350" s="175"/>
      <c r="N350" s="175"/>
      <c r="O350" s="175"/>
      <c r="P350" s="175"/>
      <c r="Q350" s="175"/>
      <c r="R350" s="175"/>
      <c r="S350" s="175"/>
    </row>
    <row r="351" spans="1:19" ht="14.25" customHeight="1">
      <c r="A351" s="175"/>
      <c r="B351" s="175"/>
      <c r="C351" s="175"/>
      <c r="D351" s="175"/>
      <c r="E351" s="175"/>
      <c r="F351" s="175"/>
      <c r="G351" s="175"/>
      <c r="H351" s="175"/>
      <c r="I351" s="175"/>
      <c r="J351" s="175"/>
      <c r="K351" s="175"/>
      <c r="L351" s="175"/>
      <c r="M351" s="175"/>
      <c r="N351" s="175"/>
      <c r="O351" s="175"/>
      <c r="P351" s="175"/>
      <c r="Q351" s="175"/>
      <c r="R351" s="175"/>
      <c r="S351" s="175"/>
    </row>
    <row r="352" spans="1:19" ht="14.25" customHeight="1">
      <c r="A352" s="175"/>
      <c r="B352" s="175"/>
      <c r="C352" s="175"/>
      <c r="D352" s="175"/>
      <c r="E352" s="175"/>
      <c r="F352" s="175"/>
      <c r="G352" s="175"/>
      <c r="H352" s="175"/>
      <c r="I352" s="175"/>
      <c r="J352" s="175"/>
      <c r="K352" s="175"/>
      <c r="L352" s="175"/>
      <c r="M352" s="175"/>
      <c r="N352" s="175"/>
      <c r="O352" s="175"/>
      <c r="P352" s="175"/>
      <c r="Q352" s="175"/>
      <c r="R352" s="175"/>
      <c r="S352" s="175"/>
    </row>
    <row r="353" spans="1:19" ht="14.25" customHeight="1">
      <c r="A353" s="175"/>
      <c r="B353" s="175"/>
      <c r="C353" s="175"/>
      <c r="D353" s="175"/>
      <c r="E353" s="175"/>
      <c r="F353" s="175"/>
      <c r="G353" s="175"/>
      <c r="H353" s="175"/>
      <c r="I353" s="175"/>
      <c r="J353" s="175"/>
      <c r="K353" s="175"/>
      <c r="L353" s="175"/>
      <c r="M353" s="175"/>
      <c r="N353" s="175"/>
      <c r="O353" s="175"/>
      <c r="P353" s="175"/>
      <c r="Q353" s="175"/>
      <c r="R353" s="175"/>
      <c r="S353" s="175"/>
    </row>
    <row r="354" spans="1:19" ht="14.25" customHeight="1">
      <c r="A354" s="175"/>
      <c r="B354" s="175"/>
      <c r="C354" s="175"/>
      <c r="D354" s="175"/>
      <c r="E354" s="175"/>
      <c r="F354" s="175"/>
      <c r="G354" s="175"/>
      <c r="H354" s="175"/>
      <c r="I354" s="175"/>
      <c r="J354" s="175"/>
      <c r="K354" s="175"/>
      <c r="L354" s="175"/>
      <c r="M354" s="175"/>
      <c r="N354" s="175"/>
      <c r="O354" s="175"/>
      <c r="P354" s="175"/>
      <c r="Q354" s="175"/>
      <c r="R354" s="175"/>
      <c r="S354" s="175"/>
    </row>
    <row r="355" spans="1:19" ht="14.25" customHeight="1">
      <c r="A355" s="175"/>
      <c r="B355" s="175"/>
      <c r="C355" s="175"/>
      <c r="D355" s="175"/>
      <c r="E355" s="175"/>
      <c r="F355" s="175"/>
      <c r="G355" s="175"/>
      <c r="H355" s="175"/>
      <c r="I355" s="175"/>
      <c r="J355" s="175"/>
      <c r="K355" s="175"/>
      <c r="L355" s="175"/>
      <c r="M355" s="175"/>
      <c r="N355" s="175"/>
      <c r="O355" s="175"/>
      <c r="P355" s="175"/>
      <c r="Q355" s="175"/>
      <c r="R355" s="175"/>
      <c r="S355" s="175"/>
    </row>
    <row r="356" spans="1:19" ht="14.25" customHeight="1">
      <c r="A356" s="175"/>
      <c r="B356" s="175"/>
      <c r="C356" s="175"/>
      <c r="D356" s="175"/>
      <c r="E356" s="175"/>
      <c r="F356" s="175"/>
      <c r="G356" s="175"/>
      <c r="H356" s="175"/>
      <c r="I356" s="175"/>
      <c r="J356" s="175"/>
      <c r="K356" s="175"/>
      <c r="L356" s="175"/>
      <c r="M356" s="175"/>
      <c r="N356" s="175"/>
      <c r="O356" s="175"/>
      <c r="P356" s="175"/>
      <c r="Q356" s="175"/>
      <c r="R356" s="175"/>
      <c r="S356" s="175"/>
    </row>
    <row r="357" spans="1:19" ht="14.25" customHeight="1">
      <c r="A357" s="175"/>
      <c r="B357" s="175"/>
      <c r="C357" s="175"/>
      <c r="D357" s="175"/>
      <c r="E357" s="175"/>
      <c r="F357" s="175"/>
      <c r="G357" s="175"/>
      <c r="H357" s="175"/>
      <c r="I357" s="175"/>
      <c r="J357" s="175"/>
      <c r="K357" s="175"/>
      <c r="L357" s="175"/>
      <c r="M357" s="175"/>
      <c r="N357" s="175"/>
      <c r="O357" s="175"/>
      <c r="P357" s="175"/>
      <c r="Q357" s="175"/>
      <c r="R357" s="175"/>
      <c r="S357" s="175"/>
    </row>
    <row r="358" spans="1:19" ht="14.25" customHeight="1">
      <c r="A358" s="175"/>
      <c r="B358" s="175"/>
      <c r="C358" s="175"/>
      <c r="D358" s="175"/>
      <c r="E358" s="175"/>
      <c r="F358" s="175"/>
      <c r="G358" s="175"/>
      <c r="H358" s="175"/>
      <c r="I358" s="175"/>
      <c r="J358" s="175"/>
      <c r="K358" s="175"/>
      <c r="L358" s="175"/>
      <c r="M358" s="175"/>
      <c r="N358" s="175"/>
      <c r="O358" s="175"/>
      <c r="P358" s="175"/>
      <c r="Q358" s="175"/>
      <c r="R358" s="175"/>
      <c r="S358" s="175"/>
    </row>
    <row r="359" spans="1:19" ht="14.25" customHeight="1">
      <c r="A359" s="175"/>
      <c r="B359" s="175"/>
      <c r="C359" s="175"/>
      <c r="D359" s="175"/>
      <c r="E359" s="175"/>
      <c r="F359" s="175"/>
      <c r="G359" s="175"/>
      <c r="H359" s="175"/>
      <c r="I359" s="175"/>
      <c r="J359" s="175"/>
      <c r="K359" s="175"/>
      <c r="L359" s="175"/>
      <c r="M359" s="175"/>
      <c r="N359" s="175"/>
      <c r="O359" s="175"/>
      <c r="P359" s="175"/>
      <c r="Q359" s="175"/>
      <c r="R359" s="175"/>
      <c r="S359" s="175"/>
    </row>
    <row r="360" spans="1:19" ht="14.25" customHeight="1">
      <c r="A360" s="175"/>
      <c r="B360" s="175"/>
      <c r="C360" s="175"/>
      <c r="D360" s="175"/>
      <c r="E360" s="175"/>
      <c r="F360" s="175"/>
      <c r="G360" s="175"/>
      <c r="H360" s="175"/>
      <c r="I360" s="175"/>
      <c r="J360" s="175"/>
      <c r="K360" s="175"/>
      <c r="L360" s="175"/>
      <c r="M360" s="175"/>
      <c r="N360" s="175"/>
      <c r="O360" s="175"/>
      <c r="P360" s="175"/>
      <c r="Q360" s="175"/>
      <c r="R360" s="175"/>
      <c r="S360" s="175"/>
    </row>
    <row r="361" spans="1:19" ht="14.25" customHeight="1">
      <c r="A361" s="175"/>
      <c r="B361" s="175"/>
      <c r="C361" s="175"/>
      <c r="D361" s="175"/>
      <c r="E361" s="175"/>
      <c r="F361" s="175"/>
      <c r="G361" s="175"/>
      <c r="H361" s="175"/>
      <c r="I361" s="175"/>
      <c r="J361" s="175"/>
      <c r="K361" s="175"/>
      <c r="L361" s="175"/>
      <c r="M361" s="175"/>
      <c r="N361" s="175"/>
      <c r="O361" s="175"/>
      <c r="P361" s="175"/>
      <c r="Q361" s="175"/>
      <c r="R361" s="175"/>
      <c r="S361" s="175"/>
    </row>
    <row r="362" spans="1:19" ht="14.25" customHeight="1">
      <c r="A362" s="175"/>
      <c r="B362" s="175"/>
      <c r="C362" s="175"/>
      <c r="D362" s="175"/>
      <c r="E362" s="175"/>
      <c r="F362" s="175"/>
      <c r="G362" s="175"/>
      <c r="H362" s="175"/>
      <c r="I362" s="175"/>
      <c r="J362" s="175"/>
      <c r="K362" s="175"/>
      <c r="L362" s="175"/>
      <c r="M362" s="175"/>
      <c r="N362" s="175"/>
      <c r="O362" s="175"/>
      <c r="P362" s="175"/>
      <c r="Q362" s="175"/>
      <c r="R362" s="175"/>
      <c r="S362" s="175"/>
    </row>
    <row r="363" spans="1:19" ht="14.25" customHeight="1">
      <c r="A363" s="175"/>
      <c r="B363" s="175"/>
      <c r="C363" s="175"/>
      <c r="D363" s="175"/>
      <c r="E363" s="175"/>
      <c r="F363" s="175"/>
      <c r="G363" s="175"/>
      <c r="H363" s="175"/>
      <c r="I363" s="175"/>
      <c r="J363" s="175"/>
      <c r="K363" s="175"/>
      <c r="L363" s="175"/>
      <c r="M363" s="175"/>
      <c r="N363" s="175"/>
      <c r="O363" s="175"/>
      <c r="P363" s="175"/>
      <c r="Q363" s="175"/>
      <c r="R363" s="175"/>
      <c r="S363" s="175"/>
    </row>
    <row r="364" spans="1:19" ht="14.25" customHeight="1">
      <c r="A364" s="175"/>
      <c r="B364" s="175"/>
      <c r="C364" s="175"/>
      <c r="D364" s="175"/>
      <c r="E364" s="175"/>
      <c r="F364" s="175"/>
      <c r="G364" s="175"/>
      <c r="H364" s="175"/>
      <c r="I364" s="175"/>
      <c r="J364" s="175"/>
      <c r="K364" s="175"/>
      <c r="L364" s="175"/>
      <c r="M364" s="175"/>
      <c r="N364" s="175"/>
      <c r="O364" s="175"/>
      <c r="P364" s="175"/>
      <c r="Q364" s="175"/>
      <c r="R364" s="175"/>
      <c r="S364" s="175"/>
    </row>
    <row r="365" spans="1:19" ht="14.25" customHeight="1">
      <c r="A365" s="175"/>
      <c r="B365" s="175"/>
      <c r="C365" s="175"/>
      <c r="D365" s="175"/>
      <c r="E365" s="175"/>
      <c r="F365" s="175"/>
      <c r="G365" s="175"/>
      <c r="H365" s="175"/>
      <c r="I365" s="175"/>
      <c r="J365" s="175"/>
      <c r="K365" s="175"/>
      <c r="L365" s="175"/>
      <c r="M365" s="175"/>
      <c r="N365" s="175"/>
      <c r="O365" s="175"/>
      <c r="P365" s="175"/>
      <c r="Q365" s="175"/>
      <c r="R365" s="175"/>
      <c r="S365" s="175"/>
    </row>
    <row r="366" spans="1:19" ht="14.25" customHeight="1">
      <c r="A366" s="175"/>
      <c r="B366" s="175"/>
      <c r="C366" s="175"/>
      <c r="D366" s="175"/>
      <c r="E366" s="175"/>
      <c r="F366" s="175"/>
      <c r="G366" s="175"/>
      <c r="H366" s="175"/>
      <c r="I366" s="175"/>
      <c r="J366" s="175"/>
      <c r="K366" s="175"/>
      <c r="L366" s="175"/>
      <c r="M366" s="175"/>
      <c r="N366" s="175"/>
      <c r="O366" s="175"/>
      <c r="P366" s="175"/>
      <c r="Q366" s="175"/>
      <c r="R366" s="175"/>
      <c r="S366" s="175"/>
    </row>
    <row r="367" spans="1:19" ht="14.25" customHeight="1">
      <c r="A367" s="175"/>
      <c r="B367" s="175"/>
      <c r="C367" s="175"/>
      <c r="D367" s="175"/>
      <c r="E367" s="175"/>
      <c r="F367" s="175"/>
      <c r="G367" s="175"/>
      <c r="H367" s="175"/>
      <c r="I367" s="175"/>
      <c r="J367" s="175"/>
      <c r="K367" s="175"/>
      <c r="L367" s="175"/>
      <c r="M367" s="175"/>
      <c r="N367" s="175"/>
      <c r="O367" s="175"/>
      <c r="P367" s="175"/>
      <c r="Q367" s="175"/>
      <c r="R367" s="175"/>
      <c r="S367" s="175"/>
    </row>
    <row r="368" spans="1:19" ht="14.25" customHeight="1">
      <c r="A368" s="175"/>
      <c r="B368" s="175"/>
      <c r="C368" s="175"/>
      <c r="D368" s="175"/>
      <c r="E368" s="175"/>
      <c r="F368" s="175"/>
      <c r="G368" s="175"/>
      <c r="H368" s="175"/>
      <c r="I368" s="175"/>
      <c r="J368" s="175"/>
      <c r="K368" s="175"/>
      <c r="L368" s="175"/>
      <c r="M368" s="175"/>
      <c r="N368" s="175"/>
      <c r="O368" s="175"/>
      <c r="P368" s="175"/>
      <c r="Q368" s="175"/>
      <c r="R368" s="175"/>
      <c r="S368" s="175"/>
    </row>
    <row r="369" spans="1:19" ht="14.25" customHeight="1">
      <c r="A369" s="175"/>
      <c r="B369" s="175"/>
      <c r="C369" s="175"/>
      <c r="D369" s="175"/>
      <c r="E369" s="175"/>
      <c r="F369" s="175"/>
      <c r="G369" s="175"/>
      <c r="H369" s="175"/>
      <c r="I369" s="175"/>
      <c r="J369" s="175"/>
      <c r="K369" s="175"/>
      <c r="L369" s="175"/>
      <c r="M369" s="175"/>
      <c r="N369" s="175"/>
      <c r="O369" s="175"/>
      <c r="P369" s="175"/>
      <c r="Q369" s="175"/>
      <c r="R369" s="175"/>
      <c r="S369" s="175"/>
    </row>
    <row r="370" spans="1:19" ht="14.25" customHeight="1">
      <c r="A370" s="175"/>
      <c r="B370" s="175"/>
      <c r="C370" s="175"/>
      <c r="D370" s="175"/>
      <c r="E370" s="175"/>
      <c r="F370" s="175"/>
      <c r="G370" s="175"/>
      <c r="H370" s="175"/>
      <c r="I370" s="175"/>
      <c r="J370" s="175"/>
      <c r="K370" s="175"/>
      <c r="L370" s="175"/>
      <c r="M370" s="175"/>
      <c r="N370" s="175"/>
      <c r="O370" s="175"/>
      <c r="P370" s="175"/>
      <c r="Q370" s="175"/>
      <c r="R370" s="175"/>
      <c r="S370" s="175"/>
    </row>
    <row r="371" spans="1:19" ht="14.25" customHeight="1">
      <c r="A371" s="175"/>
      <c r="B371" s="175"/>
      <c r="C371" s="175"/>
      <c r="D371" s="175"/>
      <c r="E371" s="175"/>
      <c r="F371" s="175"/>
      <c r="G371" s="175"/>
      <c r="H371" s="175"/>
      <c r="I371" s="175"/>
      <c r="J371" s="175"/>
      <c r="K371" s="175"/>
      <c r="L371" s="175"/>
      <c r="M371" s="175"/>
      <c r="N371" s="175"/>
      <c r="O371" s="175"/>
      <c r="P371" s="175"/>
      <c r="Q371" s="175"/>
      <c r="R371" s="175"/>
      <c r="S371" s="175"/>
    </row>
    <row r="372" spans="1:19" ht="14.25" customHeight="1">
      <c r="A372" s="175"/>
      <c r="B372" s="175"/>
      <c r="C372" s="175"/>
      <c r="D372" s="175"/>
      <c r="E372" s="175"/>
      <c r="F372" s="175"/>
      <c r="G372" s="175"/>
      <c r="H372" s="175"/>
      <c r="I372" s="175"/>
      <c r="J372" s="175"/>
      <c r="K372" s="175"/>
      <c r="L372" s="175"/>
      <c r="M372" s="175"/>
      <c r="N372" s="175"/>
      <c r="O372" s="175"/>
      <c r="P372" s="175"/>
      <c r="Q372" s="175"/>
      <c r="R372" s="175"/>
      <c r="S372" s="175"/>
    </row>
    <row r="373" spans="1:19" ht="14.25" customHeight="1">
      <c r="A373" s="175"/>
      <c r="B373" s="175"/>
      <c r="C373" s="175"/>
      <c r="D373" s="175"/>
      <c r="E373" s="175"/>
      <c r="F373" s="175"/>
      <c r="G373" s="175"/>
      <c r="H373" s="175"/>
      <c r="I373" s="175"/>
      <c r="J373" s="175"/>
      <c r="K373" s="175"/>
      <c r="L373" s="175"/>
      <c r="M373" s="175"/>
      <c r="N373" s="175"/>
      <c r="O373" s="175"/>
      <c r="P373" s="175"/>
      <c r="Q373" s="175"/>
      <c r="R373" s="175"/>
      <c r="S373" s="175"/>
    </row>
    <row r="374" spans="1:19" ht="14.25" customHeight="1">
      <c r="A374" s="175"/>
      <c r="B374" s="175"/>
      <c r="C374" s="175"/>
      <c r="D374" s="175"/>
      <c r="E374" s="175"/>
      <c r="F374" s="175"/>
      <c r="G374" s="175"/>
      <c r="H374" s="175"/>
      <c r="I374" s="175"/>
      <c r="J374" s="175"/>
      <c r="K374" s="175"/>
      <c r="L374" s="175"/>
      <c r="M374" s="175"/>
      <c r="N374" s="175"/>
      <c r="O374" s="175"/>
      <c r="P374" s="175"/>
      <c r="Q374" s="175"/>
      <c r="R374" s="175"/>
      <c r="S374" s="175"/>
    </row>
    <row r="375" spans="1:19" ht="14.25" customHeight="1">
      <c r="A375" s="175"/>
      <c r="B375" s="175"/>
      <c r="C375" s="175"/>
      <c r="D375" s="175"/>
      <c r="E375" s="175"/>
      <c r="F375" s="175"/>
      <c r="G375" s="175"/>
      <c r="H375" s="175"/>
      <c r="I375" s="175"/>
      <c r="J375" s="175"/>
      <c r="K375" s="175"/>
      <c r="L375" s="175"/>
      <c r="M375" s="175"/>
      <c r="N375" s="175"/>
      <c r="O375" s="175"/>
      <c r="P375" s="175"/>
      <c r="Q375" s="175"/>
      <c r="R375" s="175"/>
      <c r="S375" s="175"/>
    </row>
    <row r="376" spans="1:19" ht="14.25" customHeight="1">
      <c r="A376" s="175"/>
      <c r="B376" s="175"/>
      <c r="C376" s="175"/>
      <c r="D376" s="175"/>
      <c r="E376" s="175"/>
      <c r="F376" s="175"/>
      <c r="G376" s="175"/>
      <c r="H376" s="175"/>
      <c r="I376" s="175"/>
      <c r="J376" s="175"/>
      <c r="K376" s="175"/>
      <c r="L376" s="175"/>
      <c r="M376" s="175"/>
      <c r="N376" s="175"/>
      <c r="O376" s="175"/>
      <c r="P376" s="175"/>
      <c r="Q376" s="175"/>
      <c r="R376" s="175"/>
      <c r="S376" s="175"/>
    </row>
    <row r="377" spans="1:19" ht="14.25" customHeight="1">
      <c r="A377" s="175"/>
      <c r="B377" s="175"/>
      <c r="C377" s="175"/>
      <c r="D377" s="175"/>
      <c r="E377" s="175"/>
      <c r="F377" s="175"/>
      <c r="G377" s="175"/>
      <c r="H377" s="175"/>
      <c r="I377" s="175"/>
      <c r="J377" s="175"/>
      <c r="K377" s="175"/>
      <c r="L377" s="175"/>
      <c r="M377" s="175"/>
      <c r="N377" s="175"/>
      <c r="O377" s="175"/>
      <c r="P377" s="175"/>
      <c r="Q377" s="175"/>
      <c r="R377" s="175"/>
      <c r="S377" s="175"/>
    </row>
    <row r="378" spans="1:19" ht="14.25" customHeight="1">
      <c r="A378" s="175"/>
      <c r="B378" s="175"/>
      <c r="C378" s="175"/>
      <c r="D378" s="175"/>
      <c r="E378" s="175"/>
      <c r="F378" s="175"/>
      <c r="G378" s="175"/>
      <c r="H378" s="175"/>
      <c r="I378" s="175"/>
      <c r="J378" s="175"/>
      <c r="K378" s="175"/>
      <c r="L378" s="175"/>
      <c r="M378" s="175"/>
      <c r="N378" s="175"/>
      <c r="O378" s="175"/>
      <c r="P378" s="175"/>
      <c r="Q378" s="175"/>
      <c r="R378" s="175"/>
      <c r="S378" s="175"/>
    </row>
    <row r="379" spans="1:19" ht="14.25" customHeight="1">
      <c r="A379" s="175"/>
      <c r="B379" s="175"/>
      <c r="C379" s="175"/>
      <c r="D379" s="175"/>
      <c r="E379" s="175"/>
      <c r="F379" s="175"/>
      <c r="G379" s="175"/>
      <c r="H379" s="175"/>
      <c r="I379" s="175"/>
      <c r="J379" s="175"/>
      <c r="K379" s="175"/>
      <c r="L379" s="175"/>
      <c r="M379" s="175"/>
      <c r="N379" s="175"/>
      <c r="O379" s="175"/>
      <c r="P379" s="175"/>
      <c r="Q379" s="175"/>
      <c r="R379" s="175"/>
      <c r="S379" s="175"/>
    </row>
    <row r="380" spans="1:19" ht="14.25" customHeight="1">
      <c r="A380" s="175"/>
      <c r="B380" s="175"/>
      <c r="C380" s="175"/>
      <c r="D380" s="175"/>
      <c r="E380" s="175"/>
      <c r="F380" s="175"/>
      <c r="G380" s="175"/>
      <c r="H380" s="175"/>
      <c r="I380" s="175"/>
      <c r="J380" s="175"/>
      <c r="K380" s="175"/>
      <c r="L380" s="175"/>
      <c r="M380" s="175"/>
      <c r="N380" s="175"/>
      <c r="O380" s="175"/>
      <c r="P380" s="175"/>
      <c r="Q380" s="175"/>
      <c r="R380" s="175"/>
      <c r="S380" s="175"/>
    </row>
    <row r="381" spans="1:19" ht="14.25" customHeight="1">
      <c r="A381" s="175"/>
      <c r="B381" s="175"/>
      <c r="C381" s="175"/>
      <c r="D381" s="175"/>
      <c r="E381" s="175"/>
      <c r="F381" s="175"/>
      <c r="G381" s="175"/>
      <c r="H381" s="175"/>
      <c r="I381" s="175"/>
      <c r="J381" s="175"/>
      <c r="K381" s="175"/>
      <c r="L381" s="175"/>
      <c r="M381" s="175"/>
      <c r="N381" s="175"/>
      <c r="O381" s="175"/>
      <c r="P381" s="175"/>
      <c r="Q381" s="175"/>
      <c r="R381" s="175"/>
      <c r="S381" s="175"/>
    </row>
    <row r="382" spans="1:19" ht="14.25" customHeight="1">
      <c r="A382" s="175"/>
      <c r="B382" s="175"/>
      <c r="C382" s="175"/>
      <c r="D382" s="175"/>
      <c r="E382" s="175"/>
      <c r="F382" s="175"/>
      <c r="G382" s="175"/>
      <c r="H382" s="175"/>
      <c r="I382" s="175"/>
      <c r="J382" s="175"/>
      <c r="K382" s="175"/>
      <c r="L382" s="175"/>
      <c r="M382" s="175"/>
      <c r="N382" s="175"/>
      <c r="O382" s="175"/>
      <c r="P382" s="175"/>
      <c r="Q382" s="175"/>
      <c r="R382" s="175"/>
      <c r="S382" s="175"/>
    </row>
    <row r="383" spans="1:19" ht="14.25" customHeight="1">
      <c r="A383" s="175"/>
      <c r="B383" s="175"/>
      <c r="C383" s="175"/>
      <c r="D383" s="175"/>
      <c r="E383" s="175"/>
      <c r="F383" s="175"/>
      <c r="G383" s="175"/>
      <c r="H383" s="175"/>
      <c r="I383" s="175"/>
      <c r="J383" s="175"/>
      <c r="K383" s="175"/>
      <c r="L383" s="175"/>
      <c r="M383" s="175"/>
      <c r="N383" s="175"/>
      <c r="O383" s="175"/>
      <c r="P383" s="175"/>
      <c r="Q383" s="175"/>
      <c r="R383" s="175"/>
      <c r="S383" s="175"/>
    </row>
    <row r="384" spans="1:19" ht="14.25" customHeight="1">
      <c r="A384" s="175"/>
      <c r="B384" s="175"/>
      <c r="C384" s="175"/>
      <c r="D384" s="175"/>
      <c r="E384" s="175"/>
      <c r="F384" s="175"/>
      <c r="G384" s="175"/>
      <c r="H384" s="175"/>
      <c r="I384" s="175"/>
      <c r="J384" s="175"/>
      <c r="K384" s="175"/>
      <c r="L384" s="175"/>
      <c r="M384" s="175"/>
      <c r="N384" s="175"/>
      <c r="O384" s="175"/>
      <c r="P384" s="175"/>
      <c r="Q384" s="175"/>
      <c r="R384" s="175"/>
      <c r="S384" s="175"/>
    </row>
    <row r="385" spans="1:19" ht="14.25" customHeight="1">
      <c r="A385" s="175"/>
      <c r="B385" s="175"/>
      <c r="C385" s="175"/>
      <c r="D385" s="175"/>
      <c r="E385" s="175"/>
      <c r="F385" s="175"/>
      <c r="G385" s="175"/>
      <c r="H385" s="175"/>
      <c r="I385" s="175"/>
      <c r="J385" s="175"/>
      <c r="K385" s="175"/>
      <c r="L385" s="175"/>
      <c r="M385" s="175"/>
      <c r="N385" s="175"/>
      <c r="O385" s="175"/>
      <c r="P385" s="175"/>
      <c r="Q385" s="175"/>
      <c r="R385" s="175"/>
      <c r="S385" s="175"/>
    </row>
    <row r="386" spans="1:19" ht="14.25" customHeight="1">
      <c r="A386" s="175"/>
      <c r="B386" s="175"/>
      <c r="C386" s="175"/>
      <c r="D386" s="175"/>
      <c r="E386" s="175"/>
      <c r="F386" s="175"/>
      <c r="G386" s="175"/>
      <c r="H386" s="175"/>
      <c r="I386" s="175"/>
      <c r="J386" s="175"/>
      <c r="K386" s="175"/>
      <c r="L386" s="175"/>
      <c r="M386" s="175"/>
      <c r="N386" s="175"/>
      <c r="O386" s="175"/>
      <c r="P386" s="175"/>
      <c r="Q386" s="175"/>
      <c r="R386" s="175"/>
      <c r="S386" s="175"/>
    </row>
    <row r="387" spans="1:19" ht="14.25" customHeight="1">
      <c r="A387" s="175"/>
      <c r="B387" s="175"/>
      <c r="C387" s="175"/>
      <c r="D387" s="175"/>
      <c r="E387" s="175"/>
      <c r="F387" s="175"/>
      <c r="G387" s="175"/>
      <c r="H387" s="175"/>
      <c r="I387" s="175"/>
      <c r="J387" s="175"/>
      <c r="K387" s="175"/>
      <c r="L387" s="175"/>
      <c r="M387" s="175"/>
      <c r="N387" s="175"/>
      <c r="O387" s="175"/>
      <c r="P387" s="175"/>
      <c r="Q387" s="175"/>
      <c r="R387" s="175"/>
      <c r="S387" s="175"/>
    </row>
    <row r="388" spans="1:19" ht="14.25" customHeight="1">
      <c r="A388" s="175"/>
      <c r="B388" s="175"/>
      <c r="C388" s="175"/>
      <c r="D388" s="175"/>
      <c r="E388" s="175"/>
      <c r="F388" s="175"/>
      <c r="G388" s="175"/>
      <c r="H388" s="175"/>
      <c r="I388" s="175"/>
      <c r="J388" s="175"/>
      <c r="K388" s="175"/>
      <c r="L388" s="175"/>
      <c r="M388" s="175"/>
      <c r="N388" s="175"/>
      <c r="O388" s="175"/>
      <c r="P388" s="175"/>
      <c r="Q388" s="175"/>
      <c r="R388" s="175"/>
      <c r="S388" s="175"/>
    </row>
    <row r="389" spans="1:19" ht="14.25" customHeight="1">
      <c r="A389" s="175"/>
      <c r="B389" s="175"/>
      <c r="C389" s="175"/>
      <c r="D389" s="175"/>
      <c r="E389" s="175"/>
      <c r="F389" s="175"/>
      <c r="G389" s="175"/>
      <c r="H389" s="175"/>
      <c r="I389" s="175"/>
      <c r="J389" s="175"/>
      <c r="K389" s="175"/>
      <c r="L389" s="175"/>
      <c r="M389" s="175"/>
      <c r="N389" s="175"/>
      <c r="O389" s="175"/>
      <c r="P389" s="175"/>
      <c r="Q389" s="175"/>
      <c r="R389" s="175"/>
      <c r="S389" s="175"/>
    </row>
    <row r="390" spans="1:19" ht="14.25" customHeight="1">
      <c r="A390" s="175"/>
      <c r="B390" s="175"/>
      <c r="C390" s="175"/>
      <c r="D390" s="175"/>
      <c r="E390" s="175"/>
      <c r="F390" s="175"/>
      <c r="G390" s="175"/>
      <c r="H390" s="175"/>
      <c r="I390" s="175"/>
      <c r="J390" s="175"/>
      <c r="K390" s="175"/>
      <c r="L390" s="175"/>
      <c r="M390" s="175"/>
      <c r="N390" s="175"/>
      <c r="O390" s="175"/>
      <c r="P390" s="175"/>
      <c r="Q390" s="175"/>
      <c r="R390" s="175"/>
      <c r="S390" s="175"/>
    </row>
    <row r="391" spans="1:19" ht="14.25" customHeight="1">
      <c r="A391" s="175"/>
      <c r="B391" s="175"/>
      <c r="C391" s="175"/>
      <c r="D391" s="175"/>
      <c r="E391" s="175"/>
      <c r="F391" s="175"/>
      <c r="G391" s="175"/>
      <c r="H391" s="175"/>
      <c r="I391" s="175"/>
      <c r="J391" s="175"/>
      <c r="K391" s="175"/>
      <c r="L391" s="175"/>
      <c r="M391" s="175"/>
      <c r="N391" s="175"/>
      <c r="O391" s="175"/>
      <c r="P391" s="175"/>
      <c r="Q391" s="175"/>
      <c r="R391" s="175"/>
      <c r="S391" s="175"/>
    </row>
    <row r="392" spans="1:19" ht="14.25" customHeight="1">
      <c r="A392" s="175"/>
      <c r="B392" s="175"/>
      <c r="C392" s="175"/>
      <c r="D392" s="175"/>
      <c r="E392" s="175"/>
      <c r="F392" s="175"/>
      <c r="G392" s="175"/>
      <c r="H392" s="175"/>
      <c r="I392" s="175"/>
      <c r="J392" s="175"/>
      <c r="K392" s="175"/>
      <c r="L392" s="175"/>
      <c r="M392" s="175"/>
      <c r="N392" s="175"/>
      <c r="O392" s="175"/>
      <c r="P392" s="175"/>
      <c r="Q392" s="175"/>
      <c r="R392" s="175"/>
      <c r="S392" s="175"/>
    </row>
    <row r="393" spans="1:19" ht="14.25" customHeight="1">
      <c r="A393" s="175"/>
      <c r="B393" s="175"/>
      <c r="C393" s="175"/>
      <c r="D393" s="175"/>
      <c r="E393" s="175"/>
      <c r="F393" s="175"/>
      <c r="G393" s="175"/>
      <c r="H393" s="175"/>
      <c r="I393" s="175"/>
      <c r="J393" s="175"/>
      <c r="K393" s="175"/>
      <c r="L393" s="175"/>
      <c r="M393" s="175"/>
      <c r="N393" s="175"/>
      <c r="O393" s="175"/>
      <c r="P393" s="175"/>
      <c r="Q393" s="175"/>
      <c r="R393" s="175"/>
      <c r="S393" s="175"/>
    </row>
    <row r="394" spans="1:19" ht="14.25" customHeight="1">
      <c r="A394" s="175"/>
      <c r="B394" s="175"/>
      <c r="C394" s="175"/>
      <c r="D394" s="175"/>
      <c r="E394" s="175"/>
      <c r="F394" s="175"/>
      <c r="G394" s="175"/>
      <c r="H394" s="175"/>
      <c r="I394" s="175"/>
      <c r="J394" s="175"/>
      <c r="K394" s="175"/>
      <c r="L394" s="175"/>
      <c r="M394" s="175"/>
      <c r="N394" s="175"/>
      <c r="O394" s="175"/>
      <c r="P394" s="175"/>
      <c r="Q394" s="175"/>
      <c r="R394" s="175"/>
      <c r="S394" s="175"/>
    </row>
    <row r="395" spans="1:19" ht="14.25" customHeight="1">
      <c r="A395" s="175"/>
      <c r="B395" s="175"/>
      <c r="C395" s="175"/>
      <c r="D395" s="175"/>
      <c r="E395" s="175"/>
      <c r="F395" s="175"/>
      <c r="G395" s="175"/>
      <c r="H395" s="175"/>
      <c r="I395" s="175"/>
      <c r="J395" s="175"/>
      <c r="K395" s="175"/>
      <c r="L395" s="175"/>
      <c r="M395" s="175"/>
      <c r="N395" s="175"/>
      <c r="O395" s="175"/>
      <c r="P395" s="175"/>
      <c r="Q395" s="175"/>
      <c r="R395" s="175"/>
      <c r="S395" s="175"/>
    </row>
    <row r="396" spans="1:19" ht="14.25" customHeight="1">
      <c r="A396" s="175"/>
      <c r="B396" s="175"/>
      <c r="C396" s="175"/>
      <c r="D396" s="175"/>
      <c r="E396" s="175"/>
      <c r="F396" s="175"/>
      <c r="G396" s="175"/>
      <c r="H396" s="175"/>
      <c r="I396" s="175"/>
      <c r="J396" s="175"/>
      <c r="K396" s="175"/>
      <c r="L396" s="175"/>
      <c r="M396" s="175"/>
      <c r="N396" s="175"/>
      <c r="O396" s="175"/>
      <c r="P396" s="175"/>
      <c r="Q396" s="175"/>
      <c r="R396" s="175"/>
      <c r="S396" s="175"/>
    </row>
    <row r="397" spans="1:19" ht="14.25" customHeight="1">
      <c r="A397" s="175"/>
      <c r="B397" s="175"/>
      <c r="C397" s="175"/>
      <c r="D397" s="175"/>
      <c r="E397" s="175"/>
      <c r="F397" s="175"/>
      <c r="G397" s="175"/>
      <c r="H397" s="175"/>
      <c r="I397" s="175"/>
      <c r="J397" s="175"/>
      <c r="K397" s="175"/>
      <c r="L397" s="175"/>
      <c r="M397" s="175"/>
      <c r="N397" s="175"/>
      <c r="O397" s="175"/>
      <c r="P397" s="175"/>
      <c r="Q397" s="175"/>
      <c r="R397" s="175"/>
      <c r="S397" s="175"/>
    </row>
    <row r="398" spans="1:19" ht="14.25" customHeight="1">
      <c r="A398" s="175"/>
      <c r="B398" s="175"/>
      <c r="C398" s="175"/>
      <c r="D398" s="175"/>
      <c r="E398" s="175"/>
      <c r="F398" s="175"/>
      <c r="G398" s="175"/>
      <c r="H398" s="175"/>
      <c r="I398" s="175"/>
      <c r="J398" s="175"/>
      <c r="K398" s="175"/>
      <c r="L398" s="175"/>
      <c r="M398" s="175"/>
      <c r="N398" s="175"/>
      <c r="O398" s="175"/>
      <c r="P398" s="175"/>
      <c r="Q398" s="175"/>
      <c r="R398" s="175"/>
      <c r="S398" s="175"/>
    </row>
    <row r="399" spans="1:19" ht="14.25" customHeight="1">
      <c r="A399" s="175"/>
      <c r="B399" s="175"/>
      <c r="C399" s="175"/>
      <c r="D399" s="175"/>
      <c r="E399" s="175"/>
      <c r="F399" s="175"/>
      <c r="G399" s="175"/>
      <c r="H399" s="175"/>
      <c r="I399" s="175"/>
      <c r="J399" s="175"/>
      <c r="K399" s="175"/>
      <c r="L399" s="175"/>
      <c r="M399" s="175"/>
      <c r="N399" s="175"/>
      <c r="O399" s="175"/>
      <c r="P399" s="175"/>
      <c r="Q399" s="175"/>
      <c r="R399" s="175"/>
      <c r="S399" s="175"/>
    </row>
    <row r="400" spans="1:19" ht="14.25" customHeight="1">
      <c r="A400" s="175"/>
      <c r="B400" s="175"/>
      <c r="C400" s="175"/>
      <c r="D400" s="175"/>
      <c r="E400" s="175"/>
      <c r="F400" s="175"/>
      <c r="G400" s="175"/>
      <c r="H400" s="175"/>
      <c r="I400" s="175"/>
      <c r="J400" s="175"/>
      <c r="K400" s="175"/>
      <c r="L400" s="175"/>
      <c r="M400" s="175"/>
      <c r="N400" s="175"/>
      <c r="O400" s="175"/>
      <c r="P400" s="175"/>
      <c r="Q400" s="175"/>
      <c r="R400" s="175"/>
      <c r="S400" s="175"/>
    </row>
    <row r="401" spans="1:19" ht="14.25" customHeight="1">
      <c r="A401" s="175"/>
      <c r="B401" s="175"/>
      <c r="C401" s="175"/>
      <c r="D401" s="175"/>
      <c r="E401" s="175"/>
      <c r="F401" s="175"/>
      <c r="G401" s="175"/>
      <c r="H401" s="175"/>
      <c r="I401" s="175"/>
      <c r="J401" s="175"/>
      <c r="K401" s="175"/>
      <c r="L401" s="175"/>
      <c r="M401" s="175"/>
      <c r="N401" s="175"/>
      <c r="O401" s="175"/>
      <c r="P401" s="175"/>
      <c r="Q401" s="175"/>
      <c r="R401" s="175"/>
      <c r="S401" s="175"/>
    </row>
    <row r="402" spans="1:19" ht="14.25" customHeight="1">
      <c r="A402" s="175"/>
      <c r="B402" s="175"/>
      <c r="C402" s="175"/>
      <c r="D402" s="175"/>
      <c r="E402" s="175"/>
      <c r="F402" s="175"/>
      <c r="G402" s="175"/>
      <c r="H402" s="175"/>
      <c r="I402" s="175"/>
      <c r="J402" s="175"/>
      <c r="K402" s="175"/>
      <c r="L402" s="175"/>
      <c r="M402" s="175"/>
      <c r="N402" s="175"/>
      <c r="O402" s="175"/>
      <c r="P402" s="175"/>
      <c r="Q402" s="175"/>
      <c r="R402" s="175"/>
      <c r="S402" s="175"/>
    </row>
    <row r="403" spans="1:19" ht="14.25" customHeight="1">
      <c r="A403" s="175"/>
      <c r="B403" s="175"/>
      <c r="C403" s="175"/>
      <c r="D403" s="175"/>
      <c r="E403" s="175"/>
      <c r="F403" s="175"/>
      <c r="G403" s="175"/>
      <c r="H403" s="175"/>
      <c r="I403" s="175"/>
      <c r="J403" s="175"/>
      <c r="K403" s="175"/>
      <c r="L403" s="175"/>
      <c r="M403" s="175"/>
      <c r="N403" s="175"/>
      <c r="O403" s="175"/>
      <c r="P403" s="175"/>
      <c r="Q403" s="175"/>
      <c r="R403" s="175"/>
      <c r="S403" s="175"/>
    </row>
    <row r="404" spans="1:19" ht="14.25" customHeight="1">
      <c r="A404" s="175"/>
      <c r="B404" s="175"/>
      <c r="C404" s="175"/>
      <c r="D404" s="175"/>
      <c r="E404" s="175"/>
      <c r="F404" s="175"/>
      <c r="G404" s="175"/>
      <c r="H404" s="175"/>
      <c r="I404" s="175"/>
      <c r="J404" s="175"/>
      <c r="K404" s="175"/>
      <c r="L404" s="175"/>
      <c r="M404" s="175"/>
      <c r="N404" s="175"/>
      <c r="O404" s="175"/>
      <c r="P404" s="175"/>
      <c r="Q404" s="175"/>
      <c r="R404" s="175"/>
      <c r="S404" s="175"/>
    </row>
    <row r="405" spans="1:19" ht="14.25" customHeight="1">
      <c r="A405" s="175"/>
      <c r="B405" s="175"/>
      <c r="C405" s="175"/>
      <c r="D405" s="175"/>
      <c r="E405" s="175"/>
      <c r="F405" s="175"/>
      <c r="G405" s="175"/>
      <c r="H405" s="175"/>
      <c r="I405" s="175"/>
      <c r="J405" s="175"/>
      <c r="K405" s="175"/>
      <c r="L405" s="175"/>
      <c r="M405" s="175"/>
      <c r="N405" s="175"/>
      <c r="O405" s="175"/>
      <c r="P405" s="175"/>
      <c r="Q405" s="175"/>
      <c r="R405" s="175"/>
      <c r="S405" s="175"/>
    </row>
    <row r="406" spans="1:19" ht="14.25" customHeight="1">
      <c r="A406" s="175"/>
      <c r="B406" s="175"/>
      <c r="C406" s="175"/>
      <c r="D406" s="175"/>
      <c r="E406" s="175"/>
      <c r="F406" s="175"/>
      <c r="G406" s="175"/>
      <c r="H406" s="175"/>
      <c r="I406" s="175"/>
      <c r="J406" s="175"/>
      <c r="K406" s="175"/>
      <c r="L406" s="175"/>
      <c r="M406" s="175"/>
      <c r="N406" s="175"/>
      <c r="O406" s="175"/>
      <c r="P406" s="175"/>
      <c r="Q406" s="175"/>
      <c r="R406" s="175"/>
      <c r="S406" s="175"/>
    </row>
    <row r="407" spans="1:19" ht="14.25" customHeight="1">
      <c r="A407" s="175"/>
      <c r="B407" s="175"/>
      <c r="C407" s="175"/>
      <c r="D407" s="175"/>
      <c r="E407" s="175"/>
      <c r="F407" s="175"/>
      <c r="G407" s="175"/>
      <c r="H407" s="175"/>
      <c r="I407" s="175"/>
      <c r="J407" s="175"/>
      <c r="K407" s="175"/>
      <c r="L407" s="175"/>
      <c r="M407" s="175"/>
      <c r="N407" s="175"/>
      <c r="O407" s="175"/>
      <c r="P407" s="175"/>
      <c r="Q407" s="175"/>
      <c r="R407" s="175"/>
      <c r="S407" s="175"/>
    </row>
    <row r="408" spans="1:19" ht="14.25" customHeight="1">
      <c r="A408" s="175"/>
      <c r="B408" s="175"/>
      <c r="C408" s="175"/>
      <c r="D408" s="175"/>
      <c r="E408" s="175"/>
      <c r="F408" s="175"/>
      <c r="G408" s="175"/>
      <c r="H408" s="175"/>
      <c r="I408" s="175"/>
      <c r="J408" s="175"/>
      <c r="K408" s="175"/>
      <c r="L408" s="175"/>
      <c r="M408" s="175"/>
      <c r="N408" s="175"/>
      <c r="O408" s="175"/>
      <c r="P408" s="175"/>
      <c r="Q408" s="175"/>
      <c r="R408" s="175"/>
      <c r="S408" s="175"/>
    </row>
    <row r="409" spans="1:19" ht="14.25" customHeight="1">
      <c r="A409" s="175"/>
      <c r="B409" s="175"/>
      <c r="C409" s="175"/>
      <c r="D409" s="175"/>
      <c r="E409" s="175"/>
      <c r="F409" s="175"/>
      <c r="G409" s="175"/>
      <c r="H409" s="175"/>
      <c r="I409" s="175"/>
      <c r="J409" s="175"/>
      <c r="K409" s="175"/>
      <c r="L409" s="175"/>
      <c r="M409" s="175"/>
      <c r="N409" s="175"/>
      <c r="O409" s="175"/>
      <c r="P409" s="175"/>
      <c r="Q409" s="175"/>
      <c r="R409" s="175"/>
      <c r="S409" s="175"/>
    </row>
    <row r="410" spans="1:19" ht="14.25" customHeight="1">
      <c r="A410" s="175"/>
      <c r="B410" s="175"/>
      <c r="C410" s="175"/>
      <c r="D410" s="175"/>
      <c r="E410" s="175"/>
      <c r="F410" s="175"/>
      <c r="G410" s="175"/>
      <c r="H410" s="175"/>
      <c r="I410" s="175"/>
      <c r="J410" s="175"/>
      <c r="K410" s="175"/>
      <c r="L410" s="175"/>
      <c r="M410" s="175"/>
      <c r="N410" s="175"/>
      <c r="O410" s="175"/>
      <c r="P410" s="175"/>
      <c r="Q410" s="175"/>
      <c r="R410" s="175"/>
      <c r="S410" s="175"/>
    </row>
    <row r="411" spans="1:19" ht="14.25" customHeight="1">
      <c r="A411" s="175"/>
      <c r="B411" s="175"/>
      <c r="C411" s="175"/>
      <c r="D411" s="175"/>
      <c r="E411" s="175"/>
      <c r="F411" s="175"/>
      <c r="G411" s="175"/>
      <c r="H411" s="175"/>
      <c r="I411" s="175"/>
      <c r="J411" s="175"/>
      <c r="K411" s="175"/>
      <c r="L411" s="175"/>
      <c r="M411" s="175"/>
      <c r="N411" s="175"/>
      <c r="O411" s="175"/>
      <c r="P411" s="175"/>
      <c r="Q411" s="175"/>
      <c r="R411" s="175"/>
      <c r="S411" s="175"/>
    </row>
    <row r="412" spans="1:19" ht="14.25" customHeight="1">
      <c r="A412" s="175"/>
      <c r="B412" s="175"/>
      <c r="C412" s="175"/>
      <c r="D412" s="175"/>
      <c r="E412" s="175"/>
      <c r="F412" s="175"/>
      <c r="G412" s="175"/>
      <c r="H412" s="175"/>
      <c r="I412" s="175"/>
      <c r="J412" s="175"/>
      <c r="K412" s="175"/>
      <c r="L412" s="175"/>
      <c r="M412" s="175"/>
      <c r="N412" s="175"/>
      <c r="O412" s="175"/>
      <c r="P412" s="175"/>
      <c r="Q412" s="175"/>
      <c r="R412" s="175"/>
      <c r="S412" s="175"/>
    </row>
    <row r="413" spans="1:19" ht="14.25" customHeight="1">
      <c r="A413" s="175"/>
      <c r="B413" s="175"/>
      <c r="C413" s="175"/>
      <c r="D413" s="175"/>
      <c r="E413" s="175"/>
      <c r="F413" s="175"/>
      <c r="G413" s="175"/>
      <c r="H413" s="175"/>
      <c r="I413" s="175"/>
      <c r="J413" s="175"/>
      <c r="K413" s="175"/>
      <c r="L413" s="175"/>
      <c r="M413" s="175"/>
      <c r="N413" s="175"/>
      <c r="O413" s="175"/>
      <c r="P413" s="175"/>
      <c r="Q413" s="175"/>
      <c r="R413" s="175"/>
      <c r="S413" s="175"/>
    </row>
    <row r="414" spans="1:19" ht="14.25" customHeight="1">
      <c r="A414" s="175"/>
      <c r="B414" s="175"/>
      <c r="C414" s="175"/>
      <c r="D414" s="175"/>
      <c r="E414" s="175"/>
      <c r="F414" s="175"/>
      <c r="G414" s="175"/>
      <c r="H414" s="175"/>
      <c r="I414" s="175"/>
      <c r="J414" s="175"/>
      <c r="K414" s="175"/>
      <c r="L414" s="175"/>
      <c r="M414" s="175"/>
      <c r="N414" s="175"/>
      <c r="O414" s="175"/>
      <c r="P414" s="175"/>
      <c r="Q414" s="175"/>
      <c r="R414" s="175"/>
      <c r="S414" s="175"/>
    </row>
    <row r="415" spans="1:19" ht="14.25" customHeight="1">
      <c r="A415" s="175"/>
      <c r="B415" s="175"/>
      <c r="C415" s="175"/>
      <c r="D415" s="175"/>
      <c r="E415" s="175"/>
      <c r="F415" s="175"/>
      <c r="G415" s="175"/>
      <c r="H415" s="175"/>
      <c r="I415" s="175"/>
      <c r="J415" s="175"/>
      <c r="K415" s="175"/>
      <c r="L415" s="175"/>
      <c r="M415" s="175"/>
      <c r="N415" s="175"/>
      <c r="O415" s="175"/>
      <c r="P415" s="175"/>
      <c r="Q415" s="175"/>
      <c r="R415" s="175"/>
      <c r="S415" s="175"/>
    </row>
    <row r="416" spans="1:19" ht="14.25" customHeight="1">
      <c r="A416" s="175"/>
      <c r="B416" s="175"/>
      <c r="C416" s="175"/>
      <c r="D416" s="175"/>
      <c r="E416" s="175"/>
      <c r="F416" s="175"/>
      <c r="G416" s="175"/>
      <c r="H416" s="175"/>
      <c r="I416" s="175"/>
      <c r="J416" s="175"/>
      <c r="K416" s="175"/>
      <c r="L416" s="175"/>
      <c r="M416" s="175"/>
      <c r="N416" s="175"/>
      <c r="O416" s="175"/>
      <c r="P416" s="175"/>
      <c r="Q416" s="175"/>
      <c r="R416" s="175"/>
      <c r="S416" s="175"/>
    </row>
    <row r="417" spans="1:19" ht="14.25" customHeight="1">
      <c r="A417" s="175"/>
      <c r="B417" s="175"/>
      <c r="C417" s="175"/>
      <c r="D417" s="175"/>
      <c r="E417" s="175"/>
      <c r="F417" s="175"/>
      <c r="G417" s="175"/>
      <c r="H417" s="175"/>
      <c r="I417" s="175"/>
      <c r="J417" s="175"/>
      <c r="K417" s="175"/>
      <c r="L417" s="175"/>
      <c r="M417" s="175"/>
      <c r="N417" s="175"/>
      <c r="O417" s="175"/>
      <c r="P417" s="175"/>
      <c r="Q417" s="175"/>
      <c r="R417" s="175"/>
      <c r="S417" s="175"/>
    </row>
    <row r="418" spans="1:19" ht="14.25" customHeight="1">
      <c r="A418" s="175"/>
      <c r="B418" s="175"/>
      <c r="C418" s="175"/>
      <c r="D418" s="175"/>
      <c r="E418" s="175"/>
      <c r="F418" s="175"/>
      <c r="G418" s="175"/>
      <c r="H418" s="175"/>
      <c r="I418" s="175"/>
      <c r="J418" s="175"/>
      <c r="K418" s="175"/>
      <c r="L418" s="175"/>
      <c r="M418" s="175"/>
      <c r="N418" s="175"/>
      <c r="O418" s="175"/>
      <c r="P418" s="175"/>
      <c r="Q418" s="175"/>
      <c r="R418" s="175"/>
      <c r="S418" s="175"/>
    </row>
    <row r="419" spans="1:19" ht="14.25" customHeight="1">
      <c r="A419" s="175"/>
      <c r="B419" s="175"/>
      <c r="C419" s="175"/>
      <c r="D419" s="175"/>
      <c r="E419" s="175"/>
      <c r="F419" s="175"/>
      <c r="G419" s="175"/>
      <c r="H419" s="175"/>
      <c r="I419" s="175"/>
      <c r="J419" s="175"/>
      <c r="K419" s="175"/>
      <c r="L419" s="175"/>
      <c r="M419" s="175"/>
      <c r="N419" s="175"/>
      <c r="O419" s="175"/>
      <c r="P419" s="175"/>
      <c r="Q419" s="175"/>
      <c r="R419" s="175"/>
      <c r="S419" s="175"/>
    </row>
    <row r="420" spans="1:19" ht="14.25" customHeight="1">
      <c r="A420" s="175"/>
      <c r="B420" s="175"/>
      <c r="C420" s="175"/>
      <c r="D420" s="175"/>
      <c r="E420" s="175"/>
      <c r="F420" s="175"/>
      <c r="G420" s="175"/>
      <c r="H420" s="175"/>
      <c r="I420" s="175"/>
      <c r="J420" s="175"/>
      <c r="K420" s="175"/>
      <c r="L420" s="175"/>
      <c r="M420" s="175"/>
      <c r="N420" s="175"/>
      <c r="O420" s="175"/>
      <c r="P420" s="175"/>
      <c r="Q420" s="175"/>
      <c r="R420" s="175"/>
      <c r="S420" s="175"/>
    </row>
    <row r="421" spans="1:19" ht="14.25" customHeight="1">
      <c r="A421" s="175"/>
      <c r="B421" s="175"/>
      <c r="C421" s="175"/>
      <c r="D421" s="175"/>
      <c r="E421" s="175"/>
      <c r="F421" s="175"/>
      <c r="G421" s="175"/>
      <c r="H421" s="175"/>
      <c r="I421" s="175"/>
      <c r="J421" s="175"/>
      <c r="K421" s="175"/>
      <c r="L421" s="175"/>
      <c r="M421" s="175"/>
      <c r="N421" s="175"/>
      <c r="O421" s="175"/>
      <c r="P421" s="175"/>
      <c r="Q421" s="175"/>
      <c r="R421" s="175"/>
      <c r="S421" s="175"/>
    </row>
    <row r="422" spans="1:19" ht="14.25" customHeight="1">
      <c r="A422" s="175"/>
      <c r="B422" s="175"/>
      <c r="C422" s="175"/>
      <c r="D422" s="175"/>
      <c r="E422" s="175"/>
      <c r="F422" s="175"/>
      <c r="G422" s="175"/>
      <c r="H422" s="175"/>
      <c r="I422" s="175"/>
      <c r="J422" s="175"/>
      <c r="K422" s="175"/>
      <c r="L422" s="175"/>
      <c r="M422" s="175"/>
      <c r="N422" s="175"/>
      <c r="O422" s="175"/>
      <c r="P422" s="175"/>
      <c r="Q422" s="175"/>
      <c r="R422" s="175"/>
      <c r="S422" s="175"/>
    </row>
    <row r="423" spans="1:19" ht="14.25" customHeight="1">
      <c r="A423" s="175"/>
      <c r="B423" s="175"/>
      <c r="C423" s="175"/>
      <c r="D423" s="175"/>
      <c r="E423" s="175"/>
      <c r="F423" s="175"/>
      <c r="G423" s="175"/>
      <c r="H423" s="175"/>
      <c r="I423" s="175"/>
      <c r="J423" s="175"/>
      <c r="K423" s="175"/>
      <c r="L423" s="175"/>
      <c r="M423" s="175"/>
      <c r="N423" s="175"/>
      <c r="O423" s="175"/>
      <c r="P423" s="175"/>
      <c r="Q423" s="175"/>
      <c r="R423" s="175"/>
      <c r="S423" s="175"/>
    </row>
    <row r="424" spans="1:19" ht="14.25" customHeight="1">
      <c r="A424" s="175"/>
      <c r="B424" s="175"/>
      <c r="C424" s="175"/>
      <c r="D424" s="175"/>
      <c r="E424" s="175"/>
      <c r="F424" s="175"/>
      <c r="G424" s="175"/>
      <c r="H424" s="175"/>
      <c r="I424" s="175"/>
      <c r="J424" s="175"/>
      <c r="K424" s="175"/>
      <c r="L424" s="175"/>
      <c r="M424" s="175"/>
      <c r="N424" s="175"/>
      <c r="O424" s="175"/>
      <c r="P424" s="175"/>
      <c r="Q424" s="175"/>
      <c r="R424" s="175"/>
      <c r="S424" s="175"/>
    </row>
    <row r="425" spans="1:19" ht="14.25" customHeight="1">
      <c r="A425" s="175"/>
      <c r="B425" s="175"/>
      <c r="C425" s="175"/>
      <c r="D425" s="175"/>
      <c r="E425" s="175"/>
      <c r="F425" s="175"/>
      <c r="G425" s="175"/>
      <c r="H425" s="175"/>
      <c r="I425" s="175"/>
      <c r="J425" s="175"/>
      <c r="K425" s="175"/>
      <c r="L425" s="175"/>
      <c r="M425" s="175"/>
      <c r="N425" s="175"/>
      <c r="O425" s="175"/>
      <c r="P425" s="175"/>
      <c r="Q425" s="175"/>
      <c r="R425" s="175"/>
      <c r="S425" s="175"/>
    </row>
    <row r="426" spans="1:19" ht="14.25" customHeight="1">
      <c r="A426" s="175"/>
      <c r="B426" s="175"/>
      <c r="C426" s="175"/>
      <c r="D426" s="175"/>
      <c r="E426" s="175"/>
      <c r="F426" s="175"/>
      <c r="G426" s="175"/>
      <c r="H426" s="175"/>
      <c r="I426" s="175"/>
      <c r="J426" s="175"/>
      <c r="K426" s="175"/>
      <c r="L426" s="175"/>
      <c r="M426" s="175"/>
      <c r="N426" s="175"/>
      <c r="O426" s="175"/>
      <c r="P426" s="175"/>
      <c r="Q426" s="175"/>
      <c r="R426" s="175"/>
      <c r="S426" s="175"/>
    </row>
    <row r="427" spans="1:19" ht="14.25" customHeight="1">
      <c r="A427" s="175"/>
      <c r="B427" s="175"/>
      <c r="C427" s="175"/>
      <c r="D427" s="175"/>
      <c r="E427" s="175"/>
      <c r="F427" s="175"/>
      <c r="G427" s="175"/>
      <c r="H427" s="175"/>
      <c r="I427" s="175"/>
      <c r="J427" s="175"/>
      <c r="K427" s="175"/>
      <c r="L427" s="175"/>
      <c r="M427" s="175"/>
      <c r="N427" s="175"/>
      <c r="O427" s="175"/>
      <c r="P427" s="175"/>
      <c r="Q427" s="175"/>
      <c r="R427" s="175"/>
      <c r="S427" s="175"/>
    </row>
    <row r="428" spans="1:19" ht="14.25" customHeight="1">
      <c r="A428" s="175"/>
      <c r="B428" s="175"/>
      <c r="C428" s="175"/>
      <c r="D428" s="175"/>
      <c r="E428" s="175"/>
      <c r="F428" s="175"/>
      <c r="G428" s="175"/>
      <c r="H428" s="175"/>
      <c r="I428" s="175"/>
      <c r="J428" s="175"/>
      <c r="K428" s="175"/>
      <c r="L428" s="175"/>
      <c r="M428" s="175"/>
      <c r="N428" s="175"/>
      <c r="O428" s="175"/>
      <c r="P428" s="175"/>
      <c r="Q428" s="175"/>
      <c r="R428" s="175"/>
      <c r="S428" s="175"/>
    </row>
    <row r="429" spans="1:19" ht="14.25" customHeight="1">
      <c r="A429" s="175"/>
      <c r="B429" s="175"/>
      <c r="C429" s="175"/>
      <c r="D429" s="175"/>
      <c r="E429" s="175"/>
      <c r="F429" s="175"/>
      <c r="G429" s="175"/>
      <c r="H429" s="175"/>
      <c r="I429" s="175"/>
      <c r="J429" s="175"/>
      <c r="K429" s="175"/>
      <c r="L429" s="175"/>
      <c r="M429" s="175"/>
      <c r="N429" s="175"/>
      <c r="O429" s="175"/>
      <c r="P429" s="175"/>
      <c r="Q429" s="175"/>
      <c r="R429" s="175"/>
      <c r="S429" s="175"/>
    </row>
    <row r="430" spans="1:19" ht="14.25" customHeight="1">
      <c r="A430" s="175"/>
      <c r="B430" s="175"/>
      <c r="C430" s="175"/>
      <c r="D430" s="175"/>
      <c r="E430" s="175"/>
      <c r="F430" s="175"/>
      <c r="G430" s="175"/>
      <c r="H430" s="175"/>
      <c r="I430" s="175"/>
      <c r="J430" s="175"/>
      <c r="K430" s="175"/>
      <c r="L430" s="175"/>
      <c r="M430" s="175"/>
      <c r="N430" s="175"/>
      <c r="O430" s="175"/>
      <c r="P430" s="175"/>
      <c r="Q430" s="175"/>
      <c r="R430" s="175"/>
      <c r="S430" s="175"/>
    </row>
    <row r="431" spans="1:19" ht="14.25" customHeight="1">
      <c r="A431" s="175"/>
      <c r="B431" s="175"/>
      <c r="C431" s="175"/>
      <c r="D431" s="175"/>
      <c r="E431" s="175"/>
      <c r="F431" s="175"/>
      <c r="G431" s="175"/>
      <c r="H431" s="175"/>
      <c r="I431" s="175"/>
      <c r="J431" s="175"/>
      <c r="K431" s="175"/>
      <c r="L431" s="175"/>
      <c r="M431" s="175"/>
      <c r="N431" s="175"/>
      <c r="O431" s="175"/>
      <c r="P431" s="175"/>
      <c r="Q431" s="175"/>
      <c r="R431" s="175"/>
      <c r="S431" s="175"/>
    </row>
    <row r="432" spans="1:19" ht="14.25" customHeight="1">
      <c r="A432" s="175"/>
      <c r="B432" s="175"/>
      <c r="C432" s="175"/>
      <c r="D432" s="175"/>
      <c r="E432" s="175"/>
      <c r="F432" s="175"/>
      <c r="G432" s="175"/>
      <c r="H432" s="175"/>
      <c r="I432" s="175"/>
      <c r="J432" s="175"/>
      <c r="K432" s="175"/>
      <c r="L432" s="175"/>
      <c r="M432" s="175"/>
      <c r="N432" s="175"/>
      <c r="O432" s="175"/>
      <c r="P432" s="175"/>
      <c r="Q432" s="175"/>
      <c r="R432" s="175"/>
      <c r="S432" s="175"/>
    </row>
    <row r="433" spans="1:19" ht="14.25" customHeight="1">
      <c r="A433" s="175"/>
      <c r="B433" s="175"/>
      <c r="C433" s="175"/>
      <c r="D433" s="175"/>
      <c r="E433" s="175"/>
      <c r="F433" s="175"/>
      <c r="G433" s="175"/>
      <c r="H433" s="175"/>
      <c r="I433" s="175"/>
      <c r="J433" s="175"/>
      <c r="K433" s="175"/>
      <c r="L433" s="175"/>
      <c r="M433" s="175"/>
      <c r="N433" s="175"/>
      <c r="O433" s="175"/>
      <c r="P433" s="175"/>
      <c r="Q433" s="175"/>
      <c r="R433" s="175"/>
      <c r="S433" s="175"/>
    </row>
    <row r="434" spans="1:19" ht="14.25" customHeight="1">
      <c r="A434" s="175"/>
      <c r="B434" s="175"/>
      <c r="C434" s="175"/>
      <c r="D434" s="175"/>
      <c r="E434" s="175"/>
      <c r="F434" s="175"/>
      <c r="G434" s="175"/>
      <c r="H434" s="175"/>
      <c r="I434" s="175"/>
      <c r="J434" s="175"/>
      <c r="K434" s="175"/>
      <c r="L434" s="175"/>
      <c r="M434" s="175"/>
      <c r="N434" s="175"/>
      <c r="O434" s="175"/>
      <c r="P434" s="175"/>
      <c r="Q434" s="175"/>
      <c r="R434" s="175"/>
      <c r="S434" s="175"/>
    </row>
    <row r="435" spans="1:19" ht="14.25" customHeight="1">
      <c r="A435" s="175"/>
      <c r="B435" s="175"/>
      <c r="C435" s="175"/>
      <c r="D435" s="175"/>
      <c r="E435" s="175"/>
      <c r="F435" s="175"/>
      <c r="G435" s="175"/>
      <c r="H435" s="175"/>
      <c r="I435" s="175"/>
      <c r="J435" s="175"/>
      <c r="K435" s="175"/>
      <c r="L435" s="175"/>
      <c r="M435" s="175"/>
      <c r="N435" s="175"/>
      <c r="O435" s="175"/>
      <c r="P435" s="175"/>
      <c r="Q435" s="175"/>
      <c r="R435" s="175"/>
      <c r="S435" s="175"/>
    </row>
    <row r="436" spans="1:19" ht="14.25" customHeight="1">
      <c r="A436" s="175"/>
      <c r="B436" s="175"/>
      <c r="C436" s="175"/>
      <c r="D436" s="175"/>
      <c r="E436" s="175"/>
      <c r="F436" s="175"/>
      <c r="G436" s="175"/>
      <c r="H436" s="175"/>
      <c r="I436" s="175"/>
      <c r="J436" s="175"/>
      <c r="K436" s="175"/>
      <c r="L436" s="175"/>
      <c r="M436" s="175"/>
      <c r="N436" s="175"/>
      <c r="O436" s="175"/>
      <c r="P436" s="175"/>
      <c r="Q436" s="175"/>
      <c r="R436" s="175"/>
      <c r="S436" s="175"/>
    </row>
    <row r="437" spans="1:19" ht="14.25" customHeight="1">
      <c r="A437" s="175"/>
      <c r="B437" s="175"/>
      <c r="C437" s="175"/>
      <c r="D437" s="175"/>
      <c r="E437" s="175"/>
      <c r="F437" s="175"/>
      <c r="G437" s="175"/>
      <c r="H437" s="175"/>
      <c r="I437" s="175"/>
      <c r="J437" s="175"/>
      <c r="K437" s="175"/>
      <c r="L437" s="175"/>
      <c r="M437" s="175"/>
      <c r="N437" s="175"/>
      <c r="O437" s="175"/>
      <c r="P437" s="175"/>
      <c r="Q437" s="175"/>
      <c r="R437" s="175"/>
      <c r="S437" s="175"/>
    </row>
    <row r="438" spans="1:19" ht="14.25" customHeight="1">
      <c r="A438" s="175"/>
      <c r="B438" s="175"/>
      <c r="C438" s="175"/>
      <c r="D438" s="175"/>
      <c r="E438" s="175"/>
      <c r="F438" s="175"/>
      <c r="G438" s="175"/>
      <c r="H438" s="175"/>
      <c r="I438" s="175"/>
      <c r="J438" s="175"/>
      <c r="K438" s="175"/>
      <c r="L438" s="175"/>
      <c r="M438" s="175"/>
      <c r="N438" s="175"/>
      <c r="O438" s="175"/>
      <c r="P438" s="175"/>
      <c r="Q438" s="175"/>
      <c r="R438" s="175"/>
      <c r="S438" s="175"/>
    </row>
    <row r="439" spans="1:19" ht="14.25" customHeight="1">
      <c r="A439" s="175"/>
      <c r="B439" s="175"/>
      <c r="C439" s="175"/>
      <c r="D439" s="175"/>
      <c r="E439" s="175"/>
      <c r="F439" s="175"/>
      <c r="G439" s="175"/>
      <c r="H439" s="175"/>
      <c r="I439" s="175"/>
      <c r="J439" s="175"/>
      <c r="K439" s="175"/>
      <c r="L439" s="175"/>
      <c r="M439" s="175"/>
      <c r="N439" s="175"/>
      <c r="O439" s="175"/>
      <c r="P439" s="175"/>
      <c r="Q439" s="175"/>
      <c r="R439" s="175"/>
      <c r="S439" s="175"/>
    </row>
    <row r="440" spans="1:19" ht="14.25" customHeight="1">
      <c r="A440" s="175"/>
      <c r="B440" s="175"/>
      <c r="C440" s="175"/>
      <c r="D440" s="175"/>
      <c r="E440" s="175"/>
      <c r="F440" s="175"/>
      <c r="G440" s="175"/>
      <c r="H440" s="175"/>
      <c r="I440" s="175"/>
      <c r="J440" s="175"/>
      <c r="K440" s="175"/>
      <c r="L440" s="175"/>
      <c r="M440" s="175"/>
      <c r="N440" s="175"/>
      <c r="O440" s="175"/>
      <c r="P440" s="175"/>
      <c r="Q440" s="175"/>
      <c r="R440" s="175"/>
      <c r="S440" s="175"/>
    </row>
    <row r="441" spans="1:19" ht="14.25" customHeight="1">
      <c r="A441" s="175"/>
      <c r="B441" s="175"/>
      <c r="C441" s="175"/>
      <c r="D441" s="175"/>
      <c r="E441" s="175"/>
      <c r="F441" s="175"/>
      <c r="G441" s="175"/>
      <c r="H441" s="175"/>
      <c r="I441" s="175"/>
      <c r="J441" s="175"/>
      <c r="K441" s="175"/>
      <c r="L441" s="175"/>
      <c r="M441" s="175"/>
      <c r="N441" s="175"/>
      <c r="O441" s="175"/>
      <c r="P441" s="175"/>
      <c r="Q441" s="175"/>
      <c r="R441" s="175"/>
      <c r="S441" s="175"/>
    </row>
    <row r="442" spans="1:19" ht="14.25" customHeight="1">
      <c r="A442" s="175"/>
      <c r="B442" s="175"/>
      <c r="C442" s="175"/>
      <c r="D442" s="175"/>
      <c r="E442" s="175"/>
      <c r="F442" s="175"/>
      <c r="G442" s="175"/>
      <c r="H442" s="175"/>
      <c r="I442" s="175"/>
      <c r="J442" s="175"/>
      <c r="K442" s="175"/>
      <c r="L442" s="175"/>
      <c r="M442" s="175"/>
      <c r="N442" s="175"/>
      <c r="O442" s="175"/>
      <c r="P442" s="175"/>
      <c r="Q442" s="175"/>
      <c r="R442" s="175"/>
      <c r="S442" s="175"/>
    </row>
    <row r="443" spans="1:19" ht="14.25" customHeight="1">
      <c r="A443" s="175"/>
      <c r="B443" s="175"/>
      <c r="C443" s="175"/>
      <c r="D443" s="175"/>
      <c r="E443" s="175"/>
      <c r="F443" s="175"/>
      <c r="G443" s="175"/>
      <c r="H443" s="175"/>
      <c r="I443" s="175"/>
      <c r="J443" s="175"/>
      <c r="K443" s="175"/>
      <c r="L443" s="175"/>
      <c r="M443" s="175"/>
      <c r="N443" s="175"/>
      <c r="O443" s="175"/>
      <c r="P443" s="175"/>
      <c r="Q443" s="175"/>
      <c r="R443" s="175"/>
      <c r="S443" s="175"/>
    </row>
    <row r="444" spans="1:19" ht="14.25" customHeight="1">
      <c r="A444" s="175"/>
      <c r="B444" s="175"/>
      <c r="C444" s="175"/>
      <c r="D444" s="175"/>
      <c r="E444" s="175"/>
      <c r="F444" s="175"/>
      <c r="G444" s="175"/>
      <c r="H444" s="175"/>
      <c r="I444" s="175"/>
      <c r="J444" s="175"/>
      <c r="K444" s="175"/>
      <c r="L444" s="175"/>
      <c r="M444" s="175"/>
      <c r="N444" s="175"/>
      <c r="O444" s="175"/>
      <c r="P444" s="175"/>
      <c r="Q444" s="175"/>
      <c r="R444" s="175"/>
      <c r="S444" s="175"/>
    </row>
    <row r="445" spans="1:19" ht="14.25" customHeight="1">
      <c r="A445" s="175"/>
      <c r="B445" s="175"/>
      <c r="C445" s="175"/>
      <c r="D445" s="175"/>
      <c r="E445" s="175"/>
      <c r="F445" s="175"/>
      <c r="G445" s="175"/>
      <c r="H445" s="175"/>
      <c r="I445" s="175"/>
      <c r="J445" s="175"/>
      <c r="K445" s="175"/>
      <c r="L445" s="175"/>
      <c r="M445" s="175"/>
      <c r="N445" s="175"/>
      <c r="O445" s="175"/>
      <c r="P445" s="175"/>
      <c r="Q445" s="175"/>
      <c r="R445" s="175"/>
      <c r="S445" s="175"/>
    </row>
    <row r="446" spans="1:19" ht="14.25" customHeight="1">
      <c r="A446" s="175"/>
      <c r="B446" s="175"/>
      <c r="C446" s="175"/>
      <c r="D446" s="175"/>
      <c r="E446" s="175"/>
      <c r="F446" s="175"/>
      <c r="G446" s="175"/>
      <c r="H446" s="175"/>
      <c r="I446" s="175"/>
      <c r="J446" s="175"/>
      <c r="K446" s="175"/>
      <c r="L446" s="175"/>
      <c r="M446" s="175"/>
      <c r="N446" s="175"/>
      <c r="O446" s="175"/>
      <c r="P446" s="175"/>
      <c r="Q446" s="175"/>
      <c r="R446" s="175"/>
      <c r="S446" s="175"/>
    </row>
    <row r="447" spans="1:19" ht="14.25" customHeight="1">
      <c r="A447" s="175"/>
      <c r="B447" s="175"/>
      <c r="C447" s="175"/>
      <c r="D447" s="175"/>
      <c r="E447" s="175"/>
      <c r="F447" s="175"/>
      <c r="G447" s="175"/>
      <c r="H447" s="175"/>
      <c r="I447" s="175"/>
      <c r="J447" s="175"/>
      <c r="K447" s="175"/>
      <c r="L447" s="175"/>
      <c r="M447" s="175"/>
      <c r="N447" s="175"/>
      <c r="O447" s="175"/>
      <c r="P447" s="175"/>
      <c r="Q447" s="175"/>
      <c r="R447" s="175"/>
      <c r="S447" s="175"/>
    </row>
    <row r="448" spans="1:19" ht="14.25" customHeight="1">
      <c r="A448" s="175"/>
      <c r="B448" s="175"/>
      <c r="C448" s="175"/>
      <c r="D448" s="175"/>
      <c r="E448" s="175"/>
      <c r="F448" s="175"/>
      <c r="G448" s="175"/>
      <c r="H448" s="175"/>
      <c r="I448" s="175"/>
      <c r="J448" s="175"/>
      <c r="K448" s="175"/>
      <c r="L448" s="175"/>
      <c r="M448" s="175"/>
      <c r="N448" s="175"/>
      <c r="O448" s="175"/>
      <c r="P448" s="175"/>
      <c r="Q448" s="175"/>
      <c r="R448" s="175"/>
      <c r="S448" s="175"/>
    </row>
    <row r="449" spans="1:19" ht="14.25" customHeight="1">
      <c r="A449" s="175"/>
      <c r="B449" s="175"/>
      <c r="C449" s="175"/>
      <c r="D449" s="175"/>
      <c r="E449" s="175"/>
      <c r="F449" s="175"/>
      <c r="G449" s="175"/>
      <c r="H449" s="175"/>
      <c r="I449" s="175"/>
      <c r="J449" s="175"/>
      <c r="K449" s="175"/>
      <c r="L449" s="175"/>
      <c r="M449" s="175"/>
      <c r="N449" s="175"/>
      <c r="O449" s="175"/>
      <c r="P449" s="175"/>
      <c r="Q449" s="175"/>
      <c r="R449" s="175"/>
      <c r="S449" s="175"/>
    </row>
    <row r="450" spans="1:19" ht="14.25" customHeight="1">
      <c r="A450" s="175"/>
      <c r="B450" s="175"/>
      <c r="C450" s="175"/>
      <c r="D450" s="175"/>
      <c r="E450" s="175"/>
      <c r="F450" s="175"/>
      <c r="G450" s="175"/>
      <c r="H450" s="175"/>
      <c r="I450" s="175"/>
      <c r="J450" s="175"/>
      <c r="K450" s="175"/>
      <c r="L450" s="175"/>
      <c r="M450" s="175"/>
      <c r="N450" s="175"/>
      <c r="O450" s="175"/>
      <c r="P450" s="175"/>
      <c r="Q450" s="175"/>
      <c r="R450" s="175"/>
      <c r="S450" s="175"/>
    </row>
    <row r="451" spans="1:19" ht="14.25" customHeight="1">
      <c r="A451" s="175"/>
      <c r="B451" s="175"/>
      <c r="C451" s="175"/>
      <c r="D451" s="175"/>
      <c r="E451" s="175"/>
      <c r="F451" s="175"/>
      <c r="G451" s="175"/>
      <c r="H451" s="175"/>
      <c r="I451" s="175"/>
      <c r="J451" s="175"/>
      <c r="K451" s="175"/>
      <c r="L451" s="175"/>
      <c r="M451" s="175"/>
      <c r="N451" s="175"/>
      <c r="O451" s="175"/>
      <c r="P451" s="175"/>
      <c r="Q451" s="175"/>
      <c r="R451" s="175"/>
      <c r="S451" s="175"/>
    </row>
    <row r="452" spans="1:19" ht="14.25" customHeight="1">
      <c r="A452" s="175"/>
      <c r="B452" s="175"/>
      <c r="C452" s="175"/>
      <c r="D452" s="175"/>
      <c r="E452" s="175"/>
      <c r="F452" s="175"/>
      <c r="G452" s="175"/>
      <c r="H452" s="175"/>
      <c r="I452" s="175"/>
      <c r="J452" s="175"/>
      <c r="K452" s="175"/>
      <c r="L452" s="175"/>
      <c r="M452" s="175"/>
      <c r="N452" s="175"/>
      <c r="O452" s="175"/>
      <c r="P452" s="175"/>
      <c r="Q452" s="175"/>
      <c r="R452" s="175"/>
      <c r="S452" s="175"/>
    </row>
    <row r="453" spans="1:19" ht="14.25" customHeight="1">
      <c r="A453" s="175"/>
      <c r="B453" s="175"/>
      <c r="C453" s="175"/>
      <c r="D453" s="175"/>
      <c r="E453" s="175"/>
      <c r="F453" s="175"/>
      <c r="G453" s="175"/>
      <c r="H453" s="175"/>
      <c r="I453" s="175"/>
      <c r="J453" s="175"/>
      <c r="K453" s="175"/>
      <c r="L453" s="175"/>
      <c r="M453" s="175"/>
      <c r="N453" s="175"/>
      <c r="O453" s="175"/>
      <c r="P453" s="175"/>
      <c r="Q453" s="175"/>
      <c r="R453" s="175"/>
      <c r="S453" s="175"/>
    </row>
    <row r="454" spans="1:19" ht="14.25" customHeight="1">
      <c r="A454" s="175"/>
      <c r="B454" s="175"/>
      <c r="C454" s="175"/>
      <c r="D454" s="175"/>
      <c r="E454" s="175"/>
      <c r="F454" s="175"/>
      <c r="G454" s="175"/>
      <c r="H454" s="175"/>
      <c r="I454" s="175"/>
      <c r="J454" s="175"/>
      <c r="K454" s="175"/>
      <c r="L454" s="175"/>
      <c r="M454" s="175"/>
      <c r="N454" s="175"/>
      <c r="O454" s="175"/>
      <c r="P454" s="175"/>
      <c r="Q454" s="175"/>
      <c r="R454" s="175"/>
      <c r="S454" s="175"/>
    </row>
    <row r="455" spans="1:19" ht="14.25" customHeight="1">
      <c r="A455" s="175"/>
      <c r="B455" s="175"/>
      <c r="C455" s="175"/>
      <c r="D455" s="175"/>
      <c r="E455" s="175"/>
      <c r="F455" s="175"/>
      <c r="G455" s="175"/>
      <c r="H455" s="175"/>
      <c r="I455" s="175"/>
      <c r="J455" s="175"/>
      <c r="K455" s="175"/>
      <c r="L455" s="175"/>
      <c r="M455" s="175"/>
      <c r="N455" s="175"/>
      <c r="O455" s="175"/>
      <c r="P455" s="175"/>
      <c r="Q455" s="175"/>
      <c r="R455" s="175"/>
      <c r="S455" s="175"/>
    </row>
    <row r="456" spans="1:19" ht="14.25" customHeight="1">
      <c r="A456" s="175"/>
      <c r="B456" s="175"/>
      <c r="C456" s="175"/>
      <c r="D456" s="175"/>
      <c r="E456" s="175"/>
      <c r="F456" s="175"/>
      <c r="G456" s="175"/>
      <c r="H456" s="175"/>
      <c r="I456" s="175"/>
      <c r="J456" s="175"/>
      <c r="K456" s="175"/>
      <c r="L456" s="175"/>
      <c r="M456" s="175"/>
      <c r="N456" s="175"/>
      <c r="O456" s="175"/>
      <c r="P456" s="175"/>
      <c r="Q456" s="175"/>
      <c r="R456" s="175"/>
      <c r="S456" s="175"/>
    </row>
    <row r="457" spans="1:19" ht="14.25" customHeight="1">
      <c r="A457" s="175"/>
      <c r="B457" s="175"/>
      <c r="C457" s="175"/>
      <c r="D457" s="175"/>
      <c r="E457" s="175"/>
      <c r="F457" s="175"/>
      <c r="G457" s="175"/>
      <c r="H457" s="175"/>
      <c r="I457" s="175"/>
      <c r="J457" s="175"/>
      <c r="K457" s="175"/>
      <c r="L457" s="175"/>
      <c r="M457" s="175"/>
      <c r="N457" s="175"/>
      <c r="O457" s="175"/>
      <c r="P457" s="175"/>
      <c r="Q457" s="175"/>
      <c r="R457" s="175"/>
      <c r="S457" s="175"/>
    </row>
    <row r="458" spans="1:19" ht="14.25" customHeight="1">
      <c r="A458" s="175"/>
      <c r="B458" s="175"/>
      <c r="C458" s="175"/>
      <c r="D458" s="175"/>
      <c r="E458" s="175"/>
      <c r="F458" s="175"/>
      <c r="G458" s="175"/>
      <c r="H458" s="175"/>
      <c r="I458" s="175"/>
      <c r="J458" s="175"/>
      <c r="K458" s="175"/>
      <c r="L458" s="175"/>
      <c r="M458" s="175"/>
      <c r="N458" s="175"/>
      <c r="O458" s="175"/>
      <c r="P458" s="175"/>
      <c r="Q458" s="175"/>
      <c r="R458" s="175"/>
      <c r="S458" s="175"/>
    </row>
    <row r="459" spans="1:19" ht="14.25" customHeight="1">
      <c r="A459" s="175"/>
      <c r="B459" s="175"/>
      <c r="C459" s="175"/>
      <c r="D459" s="175"/>
      <c r="E459" s="175"/>
      <c r="F459" s="175"/>
      <c r="G459" s="175"/>
      <c r="H459" s="175"/>
      <c r="I459" s="175"/>
      <c r="J459" s="175"/>
      <c r="K459" s="175"/>
      <c r="L459" s="175"/>
      <c r="M459" s="175"/>
      <c r="N459" s="175"/>
      <c r="O459" s="175"/>
      <c r="P459" s="175"/>
      <c r="Q459" s="175"/>
      <c r="R459" s="175"/>
      <c r="S459" s="175"/>
    </row>
    <row r="460" spans="1:19" ht="14.25" customHeight="1">
      <c r="A460" s="175"/>
      <c r="B460" s="175"/>
      <c r="C460" s="175"/>
      <c r="D460" s="175"/>
      <c r="E460" s="175"/>
      <c r="F460" s="175"/>
      <c r="G460" s="175"/>
      <c r="H460" s="175"/>
      <c r="I460" s="175"/>
      <c r="J460" s="175"/>
      <c r="K460" s="175"/>
      <c r="L460" s="175"/>
      <c r="M460" s="175"/>
      <c r="N460" s="175"/>
      <c r="O460" s="175"/>
      <c r="P460" s="175"/>
      <c r="Q460" s="175"/>
      <c r="R460" s="175"/>
      <c r="S460" s="175"/>
    </row>
    <row r="461" spans="1:19" ht="14.25" customHeight="1">
      <c r="A461" s="175"/>
      <c r="B461" s="175"/>
      <c r="C461" s="175"/>
      <c r="D461" s="175"/>
      <c r="E461" s="175"/>
      <c r="F461" s="175"/>
      <c r="G461" s="175"/>
      <c r="H461" s="175"/>
      <c r="I461" s="175"/>
      <c r="J461" s="175"/>
      <c r="K461" s="175"/>
      <c r="L461" s="175"/>
      <c r="M461" s="175"/>
      <c r="N461" s="175"/>
      <c r="O461" s="175"/>
      <c r="P461" s="175"/>
      <c r="Q461" s="175"/>
      <c r="R461" s="175"/>
      <c r="S461" s="175"/>
    </row>
    <row r="462" spans="1:19" ht="14.25" customHeight="1">
      <c r="A462" s="175"/>
      <c r="B462" s="175"/>
      <c r="C462" s="175"/>
      <c r="D462" s="175"/>
      <c r="E462" s="175"/>
      <c r="F462" s="175"/>
      <c r="G462" s="175"/>
      <c r="H462" s="175"/>
      <c r="I462" s="175"/>
      <c r="J462" s="175"/>
      <c r="K462" s="175"/>
      <c r="L462" s="175"/>
      <c r="M462" s="175"/>
      <c r="N462" s="175"/>
      <c r="O462" s="175"/>
      <c r="P462" s="175"/>
      <c r="Q462" s="175"/>
      <c r="R462" s="175"/>
      <c r="S462" s="175"/>
    </row>
    <row r="463" spans="1:19" ht="14.25" customHeight="1">
      <c r="A463" s="175"/>
      <c r="B463" s="175"/>
      <c r="C463" s="175"/>
      <c r="D463" s="175"/>
      <c r="E463" s="175"/>
      <c r="F463" s="175"/>
      <c r="G463" s="175"/>
      <c r="H463" s="175"/>
      <c r="I463" s="175"/>
      <c r="J463" s="175"/>
      <c r="K463" s="175"/>
      <c r="L463" s="175"/>
      <c r="M463" s="175"/>
      <c r="N463" s="175"/>
      <c r="O463" s="175"/>
      <c r="P463" s="175"/>
      <c r="Q463" s="175"/>
      <c r="R463" s="175"/>
      <c r="S463" s="175"/>
    </row>
    <row r="464" spans="1:19" ht="14.25" customHeight="1">
      <c r="A464" s="175"/>
      <c r="B464" s="175"/>
      <c r="C464" s="175"/>
      <c r="D464" s="175"/>
      <c r="E464" s="175"/>
      <c r="F464" s="175"/>
      <c r="G464" s="175"/>
      <c r="H464" s="175"/>
      <c r="I464" s="175"/>
      <c r="J464" s="175"/>
      <c r="K464" s="175"/>
      <c r="L464" s="175"/>
      <c r="M464" s="175"/>
      <c r="N464" s="175"/>
      <c r="O464" s="175"/>
      <c r="P464" s="175"/>
      <c r="Q464" s="175"/>
      <c r="R464" s="175"/>
      <c r="S464" s="175"/>
    </row>
    <row r="465" spans="1:19" ht="14.25" customHeight="1">
      <c r="A465" s="175"/>
      <c r="B465" s="175"/>
      <c r="C465" s="175"/>
      <c r="D465" s="175"/>
      <c r="E465" s="175"/>
      <c r="F465" s="175"/>
      <c r="G465" s="175"/>
      <c r="H465" s="175"/>
      <c r="I465" s="175"/>
      <c r="J465" s="175"/>
      <c r="K465" s="175"/>
      <c r="L465" s="175"/>
      <c r="M465" s="175"/>
      <c r="N465" s="175"/>
      <c r="O465" s="175"/>
      <c r="P465" s="175"/>
      <c r="Q465" s="175"/>
      <c r="R465" s="175"/>
      <c r="S465" s="175"/>
    </row>
    <row r="466" spans="1:19" ht="14.25" customHeight="1">
      <c r="A466" s="175"/>
      <c r="B466" s="175"/>
      <c r="C466" s="175"/>
      <c r="D466" s="175"/>
      <c r="E466" s="175"/>
      <c r="F466" s="175"/>
      <c r="G466" s="175"/>
      <c r="H466" s="175"/>
      <c r="I466" s="175"/>
      <c r="J466" s="175"/>
      <c r="K466" s="175"/>
      <c r="L466" s="175"/>
      <c r="M466" s="175"/>
      <c r="N466" s="175"/>
      <c r="O466" s="175"/>
      <c r="P466" s="175"/>
      <c r="Q466" s="175"/>
      <c r="R466" s="175"/>
      <c r="S466" s="175"/>
    </row>
    <row r="467" spans="1:19" ht="14.25" customHeight="1">
      <c r="A467" s="175"/>
      <c r="B467" s="175"/>
      <c r="C467" s="175"/>
      <c r="D467" s="175"/>
      <c r="E467" s="175"/>
      <c r="F467" s="175"/>
      <c r="G467" s="175"/>
      <c r="H467" s="175"/>
      <c r="I467" s="175"/>
      <c r="J467" s="175"/>
      <c r="K467" s="175"/>
      <c r="L467" s="175"/>
      <c r="M467" s="175"/>
      <c r="N467" s="175"/>
      <c r="O467" s="175"/>
      <c r="P467" s="175"/>
      <c r="Q467" s="175"/>
      <c r="R467" s="175"/>
      <c r="S467" s="175"/>
    </row>
    <row r="468" spans="1:19" ht="14.25" customHeight="1">
      <c r="A468" s="175"/>
      <c r="B468" s="175"/>
      <c r="C468" s="175"/>
      <c r="D468" s="175"/>
      <c r="E468" s="175"/>
      <c r="F468" s="175"/>
      <c r="G468" s="175"/>
      <c r="H468" s="175"/>
      <c r="I468" s="175"/>
      <c r="J468" s="175"/>
      <c r="K468" s="175"/>
      <c r="L468" s="175"/>
      <c r="M468" s="175"/>
      <c r="N468" s="175"/>
      <c r="O468" s="175"/>
      <c r="P468" s="175"/>
      <c r="Q468" s="175"/>
      <c r="R468" s="175"/>
      <c r="S468" s="175"/>
    </row>
    <row r="469" spans="1:19" ht="14.25" customHeight="1">
      <c r="A469" s="175"/>
      <c r="B469" s="175"/>
      <c r="C469" s="175"/>
      <c r="D469" s="175"/>
      <c r="E469" s="175"/>
      <c r="F469" s="175"/>
      <c r="G469" s="175"/>
      <c r="H469" s="175"/>
      <c r="I469" s="175"/>
      <c r="J469" s="175"/>
      <c r="K469" s="175"/>
      <c r="L469" s="175"/>
      <c r="M469" s="175"/>
      <c r="N469" s="175"/>
      <c r="O469" s="175"/>
      <c r="P469" s="175"/>
      <c r="Q469" s="175"/>
      <c r="R469" s="175"/>
      <c r="S469" s="175"/>
    </row>
    <row r="470" spans="1:19" ht="14.25" customHeight="1">
      <c r="A470" s="175"/>
      <c r="B470" s="175"/>
      <c r="C470" s="175"/>
      <c r="D470" s="175"/>
      <c r="E470" s="175"/>
      <c r="F470" s="175"/>
      <c r="G470" s="175"/>
      <c r="H470" s="175"/>
      <c r="I470" s="175"/>
      <c r="J470" s="175"/>
      <c r="K470" s="175"/>
      <c r="L470" s="175"/>
      <c r="M470" s="175"/>
      <c r="N470" s="175"/>
      <c r="O470" s="175"/>
      <c r="P470" s="175"/>
      <c r="Q470" s="175"/>
      <c r="R470" s="175"/>
      <c r="S470" s="175"/>
    </row>
    <row r="471" spans="1:19" ht="14.25" customHeight="1">
      <c r="A471" s="175"/>
      <c r="B471" s="175"/>
      <c r="C471" s="175"/>
      <c r="D471" s="175"/>
      <c r="E471" s="175"/>
      <c r="F471" s="175"/>
      <c r="G471" s="175"/>
      <c r="H471" s="175"/>
      <c r="I471" s="175"/>
      <c r="J471" s="175"/>
      <c r="K471" s="175"/>
      <c r="L471" s="175"/>
      <c r="M471" s="175"/>
      <c r="N471" s="175"/>
      <c r="O471" s="175"/>
      <c r="P471" s="175"/>
      <c r="Q471" s="175"/>
      <c r="R471" s="175"/>
      <c r="S471" s="175"/>
    </row>
    <row r="472" spans="1:19" ht="14.25" customHeight="1">
      <c r="A472" s="175"/>
      <c r="B472" s="175"/>
      <c r="C472" s="175"/>
      <c r="D472" s="175"/>
      <c r="E472" s="175"/>
      <c r="F472" s="175"/>
      <c r="G472" s="175"/>
      <c r="H472" s="175"/>
      <c r="I472" s="175"/>
      <c r="J472" s="175"/>
      <c r="K472" s="175"/>
      <c r="L472" s="175"/>
      <c r="M472" s="175"/>
      <c r="N472" s="175"/>
      <c r="O472" s="175"/>
      <c r="P472" s="175"/>
      <c r="Q472" s="175"/>
      <c r="R472" s="175"/>
      <c r="S472" s="175"/>
    </row>
    <row r="473" spans="1:19" ht="14.25" customHeight="1">
      <c r="A473" s="175"/>
      <c r="B473" s="175"/>
      <c r="C473" s="175"/>
      <c r="D473" s="175"/>
      <c r="E473" s="175"/>
      <c r="F473" s="175"/>
      <c r="G473" s="175"/>
      <c r="H473" s="175"/>
      <c r="I473" s="175"/>
      <c r="J473" s="175"/>
      <c r="K473" s="175"/>
      <c r="L473" s="175"/>
      <c r="M473" s="175"/>
      <c r="N473" s="175"/>
      <c r="O473" s="175"/>
      <c r="P473" s="175"/>
      <c r="Q473" s="175"/>
      <c r="R473" s="175"/>
      <c r="S473" s="175"/>
    </row>
    <row r="474" spans="1:19" ht="14.25" customHeight="1">
      <c r="A474" s="175"/>
      <c r="B474" s="175"/>
      <c r="C474" s="175"/>
      <c r="D474" s="175"/>
      <c r="E474" s="175"/>
      <c r="F474" s="175"/>
      <c r="G474" s="175"/>
      <c r="H474" s="175"/>
      <c r="I474" s="175"/>
      <c r="J474" s="175"/>
      <c r="K474" s="175"/>
      <c r="L474" s="175"/>
      <c r="M474" s="175"/>
      <c r="N474" s="175"/>
      <c r="O474" s="175"/>
      <c r="P474" s="175"/>
      <c r="Q474" s="175"/>
      <c r="R474" s="175"/>
      <c r="S474" s="175"/>
    </row>
    <row r="475" spans="1:19" ht="14.25" customHeight="1">
      <c r="A475" s="175"/>
      <c r="B475" s="175"/>
      <c r="C475" s="175"/>
      <c r="D475" s="175"/>
      <c r="E475" s="175"/>
      <c r="F475" s="175"/>
      <c r="G475" s="175"/>
      <c r="H475" s="175"/>
      <c r="I475" s="175"/>
      <c r="J475" s="175"/>
      <c r="K475" s="175"/>
      <c r="L475" s="175"/>
      <c r="M475" s="175"/>
      <c r="N475" s="175"/>
      <c r="O475" s="175"/>
      <c r="P475" s="175"/>
      <c r="Q475" s="175"/>
      <c r="R475" s="175"/>
      <c r="S475" s="175"/>
    </row>
    <row r="476" spans="1:19" ht="14.25" customHeight="1">
      <c r="A476" s="175"/>
      <c r="B476" s="175"/>
      <c r="C476" s="175"/>
      <c r="D476" s="175"/>
      <c r="E476" s="175"/>
      <c r="F476" s="175"/>
      <c r="G476" s="175"/>
      <c r="H476" s="175"/>
      <c r="I476" s="175"/>
      <c r="J476" s="175"/>
      <c r="K476" s="175"/>
      <c r="L476" s="175"/>
      <c r="M476" s="175"/>
      <c r="N476" s="175"/>
      <c r="O476" s="175"/>
      <c r="P476" s="175"/>
      <c r="Q476" s="175"/>
      <c r="R476" s="175"/>
      <c r="S476" s="175"/>
    </row>
    <row r="477" spans="1:19" ht="14.25" customHeight="1">
      <c r="A477" s="175"/>
      <c r="B477" s="175"/>
      <c r="C477" s="175"/>
      <c r="D477" s="175"/>
      <c r="E477" s="175"/>
      <c r="F477" s="175"/>
      <c r="G477" s="175"/>
      <c r="H477" s="175"/>
      <c r="I477" s="175"/>
      <c r="J477" s="175"/>
      <c r="K477" s="175"/>
      <c r="L477" s="175"/>
      <c r="M477" s="175"/>
      <c r="N477" s="175"/>
      <c r="O477" s="175"/>
      <c r="P477" s="175"/>
      <c r="Q477" s="175"/>
      <c r="R477" s="175"/>
      <c r="S477" s="175"/>
    </row>
    <row r="478" spans="1:19" ht="14.25" customHeight="1">
      <c r="A478" s="175"/>
      <c r="B478" s="175"/>
      <c r="C478" s="175"/>
      <c r="D478" s="175"/>
      <c r="E478" s="175"/>
      <c r="F478" s="175"/>
      <c r="G478" s="175"/>
      <c r="H478" s="175"/>
      <c r="I478" s="175"/>
      <c r="J478" s="175"/>
      <c r="K478" s="175"/>
      <c r="L478" s="175"/>
      <c r="M478" s="175"/>
      <c r="N478" s="175"/>
      <c r="O478" s="175"/>
      <c r="P478" s="175"/>
      <c r="Q478" s="175"/>
      <c r="R478" s="175"/>
      <c r="S478" s="175"/>
    </row>
    <row r="479" spans="1:19" ht="14.25" customHeight="1">
      <c r="A479" s="175"/>
      <c r="B479" s="175"/>
      <c r="C479" s="175"/>
      <c r="D479" s="175"/>
      <c r="E479" s="175"/>
      <c r="F479" s="175"/>
      <c r="G479" s="175"/>
      <c r="H479" s="175"/>
      <c r="I479" s="175"/>
      <c r="J479" s="175"/>
      <c r="K479" s="175"/>
      <c r="L479" s="175"/>
      <c r="M479" s="175"/>
      <c r="N479" s="175"/>
      <c r="O479" s="175"/>
      <c r="P479" s="175"/>
      <c r="Q479" s="175"/>
      <c r="R479" s="175"/>
      <c r="S479" s="175"/>
    </row>
    <row r="480" spans="1:19" ht="14.25" customHeight="1">
      <c r="A480" s="175"/>
      <c r="B480" s="175"/>
      <c r="C480" s="175"/>
      <c r="D480" s="175"/>
      <c r="E480" s="175"/>
      <c r="F480" s="175"/>
      <c r="G480" s="175"/>
      <c r="H480" s="175"/>
      <c r="I480" s="175"/>
      <c r="J480" s="175"/>
      <c r="K480" s="175"/>
      <c r="L480" s="175"/>
      <c r="M480" s="175"/>
      <c r="N480" s="175"/>
      <c r="O480" s="175"/>
      <c r="P480" s="175"/>
      <c r="Q480" s="175"/>
      <c r="R480" s="175"/>
      <c r="S480" s="175"/>
    </row>
    <row r="481" spans="1:19" ht="14.25" customHeight="1">
      <c r="A481" s="175"/>
      <c r="B481" s="175"/>
      <c r="C481" s="175"/>
      <c r="D481" s="175"/>
      <c r="E481" s="175"/>
      <c r="F481" s="175"/>
      <c r="G481" s="175"/>
      <c r="H481" s="175"/>
      <c r="I481" s="175"/>
      <c r="J481" s="175"/>
      <c r="K481" s="175"/>
      <c r="L481" s="175"/>
      <c r="M481" s="175"/>
      <c r="N481" s="175"/>
      <c r="O481" s="175"/>
      <c r="P481" s="175"/>
      <c r="Q481" s="175"/>
      <c r="R481" s="175"/>
      <c r="S481" s="175"/>
    </row>
    <row r="482" spans="1:19" ht="14.25" customHeight="1">
      <c r="A482" s="175"/>
      <c r="B482" s="175"/>
      <c r="C482" s="175"/>
      <c r="D482" s="175"/>
      <c r="E482" s="175"/>
      <c r="F482" s="175"/>
      <c r="G482" s="175"/>
      <c r="H482" s="175"/>
      <c r="I482" s="175"/>
      <c r="J482" s="175"/>
      <c r="K482" s="175"/>
      <c r="L482" s="175"/>
      <c r="M482" s="175"/>
      <c r="N482" s="175"/>
      <c r="O482" s="175"/>
      <c r="P482" s="175"/>
      <c r="Q482" s="175"/>
      <c r="R482" s="175"/>
      <c r="S482" s="175"/>
    </row>
    <row r="483" spans="1:19" ht="14.25" customHeight="1">
      <c r="A483" s="175"/>
      <c r="B483" s="175"/>
      <c r="C483" s="175"/>
      <c r="D483" s="175"/>
      <c r="E483" s="175"/>
      <c r="F483" s="175"/>
      <c r="G483" s="175"/>
      <c r="H483" s="175"/>
      <c r="I483" s="175"/>
      <c r="J483" s="175"/>
      <c r="K483" s="175"/>
      <c r="L483" s="175"/>
      <c r="M483" s="175"/>
      <c r="N483" s="175"/>
      <c r="O483" s="175"/>
      <c r="P483" s="175"/>
      <c r="Q483" s="175"/>
      <c r="R483" s="175"/>
      <c r="S483" s="175"/>
    </row>
    <row r="484" spans="1:19" ht="14.25" customHeight="1">
      <c r="A484" s="175"/>
      <c r="B484" s="175"/>
      <c r="C484" s="175"/>
      <c r="D484" s="175"/>
      <c r="E484" s="175"/>
      <c r="F484" s="175"/>
      <c r="G484" s="175"/>
      <c r="H484" s="175"/>
      <c r="I484" s="175"/>
      <c r="J484" s="175"/>
      <c r="K484" s="175"/>
      <c r="L484" s="175"/>
      <c r="M484" s="175"/>
      <c r="N484" s="175"/>
      <c r="O484" s="175"/>
      <c r="P484" s="175"/>
      <c r="Q484" s="175"/>
      <c r="R484" s="175"/>
      <c r="S484" s="175"/>
    </row>
    <row r="485" spans="1:19" ht="14.25" customHeight="1">
      <c r="A485" s="175"/>
      <c r="B485" s="175"/>
      <c r="C485" s="175"/>
      <c r="D485" s="175"/>
      <c r="E485" s="175"/>
      <c r="F485" s="175"/>
      <c r="G485" s="175"/>
      <c r="H485" s="175"/>
      <c r="I485" s="175"/>
      <c r="J485" s="175"/>
      <c r="K485" s="175"/>
      <c r="L485" s="175"/>
      <c r="M485" s="175"/>
      <c r="N485" s="175"/>
      <c r="O485" s="175"/>
      <c r="P485" s="175"/>
      <c r="Q485" s="175"/>
      <c r="R485" s="175"/>
      <c r="S485" s="175"/>
    </row>
    <row r="486" spans="1:19" ht="14.25" customHeight="1">
      <c r="A486" s="175"/>
      <c r="B486" s="175"/>
      <c r="C486" s="175"/>
      <c r="D486" s="175"/>
      <c r="E486" s="175"/>
      <c r="F486" s="175"/>
      <c r="G486" s="175"/>
      <c r="H486" s="175"/>
      <c r="I486" s="175"/>
      <c r="J486" s="175"/>
      <c r="K486" s="175"/>
      <c r="L486" s="175"/>
      <c r="M486" s="175"/>
      <c r="N486" s="175"/>
      <c r="O486" s="175"/>
      <c r="P486" s="175"/>
      <c r="Q486" s="175"/>
      <c r="R486" s="175"/>
      <c r="S486" s="175"/>
    </row>
    <row r="487" spans="1:19" ht="14.25" customHeight="1">
      <c r="A487" s="175"/>
      <c r="B487" s="175"/>
      <c r="C487" s="175"/>
      <c r="D487" s="175"/>
      <c r="E487" s="175"/>
      <c r="F487" s="175"/>
      <c r="G487" s="175"/>
      <c r="H487" s="175"/>
      <c r="I487" s="175"/>
      <c r="J487" s="175"/>
      <c r="K487" s="175"/>
      <c r="L487" s="175"/>
      <c r="M487" s="175"/>
      <c r="N487" s="175"/>
      <c r="O487" s="175"/>
      <c r="P487" s="175"/>
      <c r="Q487" s="175"/>
      <c r="R487" s="175"/>
      <c r="S487" s="175"/>
    </row>
    <row r="488" spans="1:19" ht="14.25" customHeight="1">
      <c r="A488" s="175"/>
      <c r="B488" s="175"/>
      <c r="C488" s="175"/>
      <c r="D488" s="175"/>
      <c r="E488" s="175"/>
      <c r="F488" s="175"/>
      <c r="G488" s="175"/>
      <c r="H488" s="175"/>
      <c r="I488" s="175"/>
      <c r="J488" s="175"/>
      <c r="K488" s="175"/>
      <c r="L488" s="175"/>
      <c r="M488" s="175"/>
      <c r="N488" s="175"/>
      <c r="O488" s="175"/>
      <c r="P488" s="175"/>
      <c r="Q488" s="175"/>
      <c r="R488" s="175"/>
      <c r="S488" s="175"/>
    </row>
    <row r="489" spans="1:19" ht="14.25" customHeight="1">
      <c r="A489" s="175"/>
      <c r="B489" s="175"/>
      <c r="C489" s="175"/>
      <c r="D489" s="175"/>
      <c r="E489" s="175"/>
      <c r="F489" s="175"/>
      <c r="G489" s="175"/>
      <c r="H489" s="175"/>
      <c r="I489" s="175"/>
      <c r="J489" s="175"/>
      <c r="K489" s="175"/>
      <c r="L489" s="175"/>
      <c r="M489" s="175"/>
      <c r="N489" s="175"/>
      <c r="O489" s="175"/>
      <c r="P489" s="175"/>
      <c r="Q489" s="175"/>
      <c r="R489" s="175"/>
      <c r="S489" s="175"/>
    </row>
    <row r="490" spans="1:19" ht="14.25" customHeight="1">
      <c r="A490" s="175"/>
      <c r="B490" s="175"/>
      <c r="C490" s="175"/>
      <c r="D490" s="175"/>
      <c r="E490" s="175"/>
      <c r="F490" s="175"/>
      <c r="G490" s="175"/>
      <c r="H490" s="175"/>
      <c r="I490" s="175"/>
      <c r="J490" s="175"/>
      <c r="K490" s="175"/>
      <c r="L490" s="175"/>
      <c r="M490" s="175"/>
      <c r="N490" s="175"/>
      <c r="O490" s="175"/>
      <c r="P490" s="175"/>
      <c r="Q490" s="175"/>
      <c r="R490" s="175"/>
      <c r="S490" s="175"/>
    </row>
    <row r="491" spans="1:19" ht="14.25" customHeight="1">
      <c r="A491" s="175"/>
      <c r="B491" s="175"/>
      <c r="C491" s="175"/>
      <c r="D491" s="175"/>
      <c r="E491" s="175"/>
      <c r="F491" s="175"/>
      <c r="G491" s="175"/>
      <c r="H491" s="175"/>
      <c r="I491" s="175"/>
      <c r="J491" s="175"/>
      <c r="K491" s="175"/>
      <c r="L491" s="175"/>
      <c r="M491" s="175"/>
      <c r="N491" s="175"/>
      <c r="O491" s="175"/>
      <c r="P491" s="175"/>
      <c r="Q491" s="175"/>
      <c r="R491" s="175"/>
      <c r="S491" s="175"/>
    </row>
    <row r="492" spans="1:19" ht="14.25" customHeight="1">
      <c r="A492" s="175"/>
      <c r="B492" s="175"/>
      <c r="C492" s="175"/>
      <c r="D492" s="175"/>
      <c r="E492" s="175"/>
      <c r="F492" s="175"/>
      <c r="G492" s="175"/>
      <c r="H492" s="175"/>
      <c r="I492" s="175"/>
      <c r="J492" s="175"/>
      <c r="K492" s="175"/>
      <c r="L492" s="175"/>
      <c r="M492" s="175"/>
      <c r="N492" s="175"/>
      <c r="O492" s="175"/>
      <c r="P492" s="175"/>
      <c r="Q492" s="175"/>
      <c r="R492" s="175"/>
      <c r="S492" s="175"/>
    </row>
    <row r="493" spans="1:19" ht="14.25" customHeight="1">
      <c r="A493" s="175"/>
      <c r="B493" s="175"/>
      <c r="C493" s="175"/>
      <c r="D493" s="175"/>
      <c r="E493" s="175"/>
      <c r="F493" s="175"/>
      <c r="G493" s="175"/>
      <c r="H493" s="175"/>
      <c r="I493" s="175"/>
      <c r="J493" s="175"/>
      <c r="K493" s="175"/>
      <c r="L493" s="175"/>
      <c r="M493" s="175"/>
      <c r="N493" s="175"/>
      <c r="O493" s="175"/>
      <c r="P493" s="175"/>
      <c r="Q493" s="175"/>
      <c r="R493" s="175"/>
      <c r="S493" s="175"/>
    </row>
    <row r="494" spans="1:19" ht="14.25" customHeight="1">
      <c r="A494" s="175"/>
      <c r="B494" s="175"/>
      <c r="C494" s="175"/>
      <c r="D494" s="175"/>
      <c r="E494" s="175"/>
      <c r="F494" s="175"/>
      <c r="G494" s="175"/>
      <c r="H494" s="175"/>
      <c r="I494" s="175"/>
      <c r="J494" s="175"/>
      <c r="K494" s="175"/>
      <c r="L494" s="175"/>
      <c r="M494" s="175"/>
      <c r="N494" s="175"/>
      <c r="O494" s="175"/>
      <c r="P494" s="175"/>
      <c r="Q494" s="175"/>
      <c r="R494" s="175"/>
      <c r="S494" s="175"/>
    </row>
    <row r="495" spans="1:19" ht="14.25" customHeight="1">
      <c r="A495" s="175"/>
      <c r="B495" s="175"/>
      <c r="C495" s="175"/>
      <c r="D495" s="175"/>
      <c r="E495" s="175"/>
      <c r="F495" s="175"/>
      <c r="G495" s="175"/>
      <c r="H495" s="175"/>
      <c r="I495" s="175"/>
      <c r="J495" s="175"/>
      <c r="K495" s="175"/>
      <c r="L495" s="175"/>
      <c r="M495" s="175"/>
      <c r="N495" s="175"/>
      <c r="O495" s="175"/>
      <c r="P495" s="175"/>
      <c r="Q495" s="175"/>
      <c r="R495" s="175"/>
      <c r="S495" s="175"/>
    </row>
    <row r="496" spans="1:19" ht="14.25" customHeight="1">
      <c r="A496" s="175"/>
      <c r="B496" s="175"/>
      <c r="C496" s="175"/>
      <c r="D496" s="175"/>
      <c r="E496" s="175"/>
      <c r="F496" s="175"/>
      <c r="G496" s="175"/>
      <c r="H496" s="175"/>
      <c r="I496" s="175"/>
      <c r="J496" s="175"/>
      <c r="K496" s="175"/>
      <c r="L496" s="175"/>
      <c r="M496" s="175"/>
      <c r="N496" s="175"/>
      <c r="O496" s="175"/>
      <c r="P496" s="175"/>
      <c r="Q496" s="175"/>
      <c r="R496" s="175"/>
      <c r="S496" s="175"/>
    </row>
    <row r="497" spans="1:19" ht="14.25" customHeight="1">
      <c r="A497" s="175"/>
      <c r="B497" s="175"/>
      <c r="C497" s="175"/>
      <c r="D497" s="175"/>
      <c r="E497" s="175"/>
      <c r="F497" s="175"/>
      <c r="G497" s="175"/>
      <c r="H497" s="175"/>
      <c r="I497" s="175"/>
      <c r="J497" s="175"/>
      <c r="K497" s="175"/>
      <c r="L497" s="175"/>
      <c r="M497" s="175"/>
      <c r="N497" s="175"/>
      <c r="O497" s="175"/>
      <c r="P497" s="175"/>
      <c r="Q497" s="175"/>
      <c r="R497" s="175"/>
      <c r="S497" s="175"/>
    </row>
    <row r="498" spans="1:19" ht="14.25" customHeight="1">
      <c r="A498" s="175"/>
      <c r="B498" s="175"/>
      <c r="C498" s="175"/>
      <c r="D498" s="175"/>
      <c r="E498" s="175"/>
      <c r="F498" s="175"/>
      <c r="G498" s="175"/>
      <c r="H498" s="175"/>
      <c r="I498" s="175"/>
      <c r="J498" s="175"/>
      <c r="K498" s="175"/>
      <c r="L498" s="175"/>
      <c r="M498" s="175"/>
      <c r="N498" s="175"/>
      <c r="O498" s="175"/>
      <c r="P498" s="175"/>
      <c r="Q498" s="175"/>
      <c r="R498" s="175"/>
      <c r="S498" s="175"/>
    </row>
    <row r="499" spans="1:19" ht="14.25" customHeight="1">
      <c r="A499" s="175"/>
      <c r="B499" s="175"/>
      <c r="C499" s="175"/>
      <c r="D499" s="175"/>
      <c r="E499" s="175"/>
      <c r="F499" s="175"/>
      <c r="G499" s="175"/>
      <c r="H499" s="175"/>
      <c r="I499" s="175"/>
      <c r="J499" s="175"/>
      <c r="K499" s="175"/>
      <c r="L499" s="175"/>
      <c r="M499" s="175"/>
      <c r="N499" s="175"/>
      <c r="O499" s="175"/>
      <c r="P499" s="175"/>
      <c r="Q499" s="175"/>
      <c r="R499" s="175"/>
      <c r="S499" s="175"/>
    </row>
    <row r="500" spans="1:19" ht="14.25" customHeight="1">
      <c r="A500" s="175"/>
      <c r="B500" s="175"/>
      <c r="C500" s="175"/>
      <c r="D500" s="175"/>
      <c r="E500" s="175"/>
      <c r="F500" s="175"/>
      <c r="G500" s="175"/>
      <c r="H500" s="175"/>
      <c r="I500" s="175"/>
      <c r="J500" s="175"/>
      <c r="K500" s="175"/>
      <c r="L500" s="175"/>
      <c r="M500" s="175"/>
      <c r="N500" s="175"/>
      <c r="O500" s="175"/>
      <c r="P500" s="175"/>
      <c r="Q500" s="175"/>
      <c r="R500" s="175"/>
      <c r="S500" s="175"/>
    </row>
    <row r="501" spans="1:19" ht="14.25" customHeight="1">
      <c r="A501" s="175"/>
      <c r="B501" s="175"/>
      <c r="C501" s="175"/>
      <c r="D501" s="175"/>
      <c r="E501" s="175"/>
      <c r="F501" s="175"/>
      <c r="G501" s="175"/>
      <c r="H501" s="175"/>
      <c r="I501" s="175"/>
      <c r="J501" s="175"/>
      <c r="K501" s="175"/>
      <c r="L501" s="175"/>
      <c r="M501" s="175"/>
      <c r="N501" s="175"/>
      <c r="O501" s="175"/>
      <c r="P501" s="175"/>
      <c r="Q501" s="175"/>
      <c r="R501" s="175"/>
      <c r="S501" s="175"/>
    </row>
    <row r="502" spans="1:19" ht="14.25" customHeight="1">
      <c r="A502" s="175"/>
      <c r="B502" s="175"/>
      <c r="C502" s="175"/>
      <c r="D502" s="175"/>
      <c r="E502" s="175"/>
      <c r="F502" s="175"/>
      <c r="G502" s="175"/>
      <c r="H502" s="175"/>
      <c r="I502" s="175"/>
      <c r="J502" s="175"/>
      <c r="K502" s="175"/>
      <c r="L502" s="175"/>
      <c r="M502" s="175"/>
      <c r="N502" s="175"/>
      <c r="O502" s="175"/>
      <c r="P502" s="175"/>
      <c r="Q502" s="175"/>
      <c r="R502" s="175"/>
      <c r="S502" s="175"/>
    </row>
    <row r="503" spans="1:19" ht="14.25" customHeight="1">
      <c r="A503" s="175"/>
      <c r="B503" s="175"/>
      <c r="C503" s="175"/>
      <c r="D503" s="175"/>
      <c r="E503" s="175"/>
      <c r="F503" s="175"/>
      <c r="G503" s="175"/>
      <c r="H503" s="175"/>
      <c r="I503" s="175"/>
      <c r="J503" s="175"/>
      <c r="K503" s="175"/>
      <c r="L503" s="175"/>
      <c r="M503" s="175"/>
      <c r="N503" s="175"/>
      <c r="O503" s="175"/>
      <c r="P503" s="175"/>
      <c r="Q503" s="175"/>
      <c r="R503" s="175"/>
      <c r="S503" s="175"/>
    </row>
    <row r="504" spans="1:19" ht="14.25" customHeight="1">
      <c r="A504" s="175"/>
      <c r="B504" s="175"/>
      <c r="C504" s="175"/>
      <c r="D504" s="175"/>
      <c r="E504" s="175"/>
      <c r="F504" s="175"/>
      <c r="G504" s="175"/>
      <c r="H504" s="175"/>
      <c r="I504" s="175"/>
      <c r="J504" s="175"/>
      <c r="K504" s="175"/>
      <c r="L504" s="175"/>
      <c r="M504" s="175"/>
      <c r="N504" s="175"/>
      <c r="O504" s="175"/>
      <c r="P504" s="175"/>
      <c r="Q504" s="175"/>
      <c r="R504" s="175"/>
      <c r="S504" s="175"/>
    </row>
    <row r="505" spans="1:19" ht="14.25" customHeight="1">
      <c r="A505" s="175"/>
      <c r="B505" s="175"/>
      <c r="C505" s="175"/>
      <c r="D505" s="175"/>
      <c r="E505" s="175"/>
      <c r="F505" s="175"/>
      <c r="G505" s="175"/>
      <c r="H505" s="175"/>
      <c r="I505" s="175"/>
      <c r="J505" s="175"/>
      <c r="K505" s="175"/>
      <c r="L505" s="175"/>
      <c r="M505" s="175"/>
      <c r="N505" s="175"/>
      <c r="O505" s="175"/>
      <c r="P505" s="175"/>
      <c r="Q505" s="175"/>
      <c r="R505" s="175"/>
      <c r="S505" s="175"/>
    </row>
    <row r="506" spans="1:19" ht="14.25" customHeight="1">
      <c r="A506" s="175"/>
      <c r="B506" s="175"/>
      <c r="C506" s="175"/>
      <c r="D506" s="175"/>
      <c r="E506" s="175"/>
      <c r="F506" s="175"/>
      <c r="G506" s="175"/>
      <c r="H506" s="175"/>
      <c r="I506" s="175"/>
      <c r="J506" s="175"/>
      <c r="K506" s="175"/>
      <c r="L506" s="175"/>
      <c r="M506" s="175"/>
      <c r="N506" s="175"/>
      <c r="O506" s="175"/>
      <c r="P506" s="175"/>
      <c r="Q506" s="175"/>
      <c r="R506" s="175"/>
      <c r="S506" s="175"/>
    </row>
    <row r="507" spans="1:19" ht="14.25" customHeight="1">
      <c r="A507" s="175"/>
      <c r="B507" s="175"/>
      <c r="C507" s="175"/>
      <c r="D507" s="175"/>
      <c r="E507" s="175"/>
      <c r="F507" s="175"/>
      <c r="G507" s="175"/>
      <c r="H507" s="175"/>
      <c r="I507" s="175"/>
      <c r="J507" s="175"/>
      <c r="K507" s="175"/>
      <c r="L507" s="175"/>
      <c r="M507" s="175"/>
      <c r="N507" s="175"/>
      <c r="O507" s="175"/>
      <c r="P507" s="175"/>
      <c r="Q507" s="175"/>
      <c r="R507" s="175"/>
      <c r="S507" s="175"/>
    </row>
    <row r="508" spans="1:19" ht="14.25" customHeight="1">
      <c r="A508" s="175"/>
      <c r="B508" s="175"/>
      <c r="C508" s="175"/>
      <c r="D508" s="175"/>
      <c r="E508" s="175"/>
      <c r="F508" s="175"/>
      <c r="G508" s="175"/>
      <c r="H508" s="175"/>
      <c r="I508" s="175"/>
      <c r="J508" s="175"/>
      <c r="K508" s="175"/>
      <c r="L508" s="175"/>
      <c r="M508" s="175"/>
      <c r="N508" s="175"/>
      <c r="O508" s="175"/>
      <c r="P508" s="175"/>
      <c r="Q508" s="175"/>
      <c r="R508" s="175"/>
      <c r="S508" s="175"/>
    </row>
    <row r="509" spans="1:19" ht="14.25" customHeight="1">
      <c r="A509" s="175"/>
      <c r="B509" s="175"/>
      <c r="C509" s="175"/>
      <c r="D509" s="175"/>
      <c r="E509" s="175"/>
      <c r="F509" s="175"/>
      <c r="G509" s="175"/>
      <c r="H509" s="175"/>
      <c r="I509" s="175"/>
      <c r="J509" s="175"/>
      <c r="K509" s="175"/>
      <c r="L509" s="175"/>
      <c r="M509" s="175"/>
      <c r="N509" s="175"/>
      <c r="O509" s="175"/>
      <c r="P509" s="175"/>
      <c r="Q509" s="175"/>
      <c r="R509" s="175"/>
      <c r="S509" s="175"/>
    </row>
    <row r="510" spans="1:19" ht="14.25" customHeight="1">
      <c r="A510" s="175"/>
      <c r="B510" s="175"/>
      <c r="C510" s="175"/>
      <c r="D510" s="175"/>
      <c r="E510" s="175"/>
      <c r="F510" s="175"/>
      <c r="G510" s="175"/>
      <c r="H510" s="175"/>
      <c r="I510" s="175"/>
      <c r="J510" s="175"/>
      <c r="K510" s="175"/>
      <c r="L510" s="175"/>
      <c r="M510" s="175"/>
      <c r="N510" s="175"/>
      <c r="O510" s="175"/>
      <c r="P510" s="175"/>
      <c r="Q510" s="175"/>
      <c r="R510" s="175"/>
      <c r="S510" s="175"/>
    </row>
    <row r="511" spans="1:19" ht="14.25" customHeight="1">
      <c r="A511" s="175"/>
      <c r="B511" s="175"/>
      <c r="C511" s="175"/>
      <c r="D511" s="175"/>
      <c r="E511" s="175"/>
      <c r="F511" s="175"/>
      <c r="G511" s="175"/>
      <c r="H511" s="175"/>
      <c r="I511" s="175"/>
      <c r="J511" s="175"/>
      <c r="K511" s="175"/>
      <c r="L511" s="175"/>
      <c r="M511" s="175"/>
      <c r="N511" s="175"/>
      <c r="O511" s="175"/>
      <c r="P511" s="175"/>
      <c r="Q511" s="175"/>
      <c r="R511" s="175"/>
      <c r="S511" s="175"/>
    </row>
    <row r="512" spans="1:19" ht="14.25" customHeight="1">
      <c r="A512" s="175"/>
      <c r="B512" s="175"/>
      <c r="C512" s="175"/>
      <c r="D512" s="175"/>
      <c r="E512" s="175"/>
      <c r="F512" s="175"/>
      <c r="G512" s="175"/>
      <c r="H512" s="175"/>
      <c r="I512" s="175"/>
      <c r="J512" s="175"/>
      <c r="K512" s="175"/>
      <c r="L512" s="175"/>
      <c r="M512" s="175"/>
      <c r="N512" s="175"/>
      <c r="O512" s="175"/>
      <c r="P512" s="175"/>
      <c r="Q512" s="175"/>
      <c r="R512" s="175"/>
      <c r="S512" s="175"/>
    </row>
    <row r="513" spans="1:19" ht="14.25" customHeight="1">
      <c r="A513" s="175"/>
      <c r="B513" s="175"/>
      <c r="C513" s="175"/>
      <c r="D513" s="175"/>
      <c r="E513" s="175"/>
      <c r="F513" s="175"/>
      <c r="G513" s="175"/>
      <c r="H513" s="175"/>
      <c r="I513" s="175"/>
      <c r="J513" s="175"/>
      <c r="K513" s="175"/>
      <c r="L513" s="175"/>
      <c r="M513" s="175"/>
      <c r="N513" s="175"/>
      <c r="O513" s="175"/>
      <c r="P513" s="175"/>
      <c r="Q513" s="175"/>
      <c r="R513" s="175"/>
      <c r="S513" s="175"/>
    </row>
    <row r="514" spans="1:19" ht="14.25" customHeight="1">
      <c r="A514" s="175"/>
      <c r="B514" s="175"/>
      <c r="C514" s="175"/>
      <c r="D514" s="175"/>
      <c r="E514" s="175"/>
      <c r="F514" s="175"/>
      <c r="G514" s="175"/>
      <c r="H514" s="175"/>
      <c r="I514" s="175"/>
      <c r="J514" s="175"/>
      <c r="K514" s="175"/>
      <c r="L514" s="175"/>
      <c r="M514" s="175"/>
      <c r="N514" s="175"/>
      <c r="O514" s="175"/>
      <c r="P514" s="175"/>
      <c r="Q514" s="175"/>
      <c r="R514" s="175"/>
      <c r="S514" s="175"/>
    </row>
    <row r="515" spans="1:19" ht="14.25" customHeight="1">
      <c r="A515" s="175"/>
      <c r="B515" s="175"/>
      <c r="C515" s="175"/>
      <c r="D515" s="175"/>
      <c r="E515" s="175"/>
      <c r="F515" s="175"/>
      <c r="G515" s="175"/>
      <c r="H515" s="175"/>
      <c r="I515" s="175"/>
      <c r="J515" s="175"/>
      <c r="K515" s="175"/>
      <c r="L515" s="175"/>
      <c r="M515" s="175"/>
      <c r="N515" s="175"/>
      <c r="O515" s="175"/>
      <c r="P515" s="175"/>
      <c r="Q515" s="175"/>
      <c r="R515" s="175"/>
      <c r="S515" s="175"/>
    </row>
    <row r="516" spans="1:19" ht="14.25" customHeight="1">
      <c r="A516" s="175"/>
      <c r="B516" s="175"/>
      <c r="C516" s="175"/>
      <c r="D516" s="175"/>
      <c r="E516" s="175"/>
      <c r="F516" s="175"/>
      <c r="G516" s="175"/>
      <c r="H516" s="175"/>
      <c r="I516" s="175"/>
      <c r="J516" s="175"/>
      <c r="K516" s="175"/>
      <c r="L516" s="175"/>
      <c r="M516" s="175"/>
      <c r="N516" s="175"/>
      <c r="O516" s="175"/>
      <c r="P516" s="175"/>
      <c r="Q516" s="175"/>
      <c r="R516" s="175"/>
      <c r="S516" s="175"/>
    </row>
    <row r="517" spans="1:19" ht="14.25" customHeight="1">
      <c r="A517" s="175"/>
      <c r="B517" s="175"/>
      <c r="C517" s="175"/>
      <c r="D517" s="175"/>
      <c r="E517" s="175"/>
      <c r="F517" s="175"/>
      <c r="G517" s="175"/>
      <c r="H517" s="175"/>
      <c r="I517" s="175"/>
      <c r="J517" s="175"/>
      <c r="K517" s="175"/>
      <c r="L517" s="175"/>
      <c r="M517" s="175"/>
      <c r="N517" s="175"/>
      <c r="O517" s="175"/>
      <c r="P517" s="175"/>
      <c r="Q517" s="175"/>
      <c r="R517" s="175"/>
      <c r="S517" s="175"/>
    </row>
    <row r="518" spans="1:19" ht="14.25" customHeight="1">
      <c r="A518" s="175"/>
      <c r="B518" s="175"/>
      <c r="C518" s="175"/>
      <c r="D518" s="175"/>
      <c r="E518" s="175"/>
      <c r="F518" s="175"/>
      <c r="G518" s="175"/>
      <c r="H518" s="175"/>
      <c r="I518" s="175"/>
      <c r="J518" s="175"/>
      <c r="K518" s="175"/>
      <c r="L518" s="175"/>
      <c r="M518" s="175"/>
      <c r="N518" s="175"/>
      <c r="O518" s="175"/>
      <c r="P518" s="175"/>
      <c r="Q518" s="175"/>
      <c r="R518" s="175"/>
      <c r="S518" s="175"/>
    </row>
    <row r="519" spans="1:19" ht="14.25" customHeight="1">
      <c r="A519" s="175"/>
      <c r="B519" s="175"/>
      <c r="C519" s="175"/>
      <c r="D519" s="175"/>
      <c r="E519" s="175"/>
      <c r="F519" s="175"/>
      <c r="G519" s="175"/>
      <c r="H519" s="175"/>
      <c r="I519" s="175"/>
      <c r="J519" s="175"/>
      <c r="K519" s="175"/>
      <c r="L519" s="175"/>
      <c r="M519" s="175"/>
      <c r="N519" s="175"/>
      <c r="O519" s="175"/>
      <c r="P519" s="175"/>
      <c r="Q519" s="175"/>
      <c r="R519" s="175"/>
      <c r="S519" s="175"/>
    </row>
    <row r="520" spans="1:19" ht="14.25" customHeight="1">
      <c r="A520" s="175"/>
      <c r="B520" s="175"/>
      <c r="C520" s="175"/>
      <c r="D520" s="175"/>
      <c r="E520" s="175"/>
      <c r="F520" s="175"/>
      <c r="G520" s="175"/>
      <c r="H520" s="175"/>
      <c r="I520" s="175"/>
      <c r="J520" s="175"/>
      <c r="K520" s="175"/>
      <c r="L520" s="175"/>
      <c r="M520" s="175"/>
      <c r="N520" s="175"/>
      <c r="O520" s="175"/>
      <c r="P520" s="175"/>
      <c r="Q520" s="175"/>
      <c r="R520" s="175"/>
      <c r="S520" s="175"/>
    </row>
    <row r="521" spans="1:19" ht="14.25" customHeight="1">
      <c r="A521" s="175"/>
      <c r="B521" s="175"/>
      <c r="C521" s="175"/>
      <c r="D521" s="175"/>
      <c r="E521" s="175"/>
      <c r="F521" s="175"/>
      <c r="G521" s="175"/>
      <c r="H521" s="175"/>
      <c r="I521" s="175"/>
      <c r="J521" s="175"/>
      <c r="K521" s="175"/>
      <c r="L521" s="175"/>
      <c r="M521" s="175"/>
      <c r="N521" s="175"/>
      <c r="O521" s="175"/>
      <c r="P521" s="175"/>
      <c r="Q521" s="175"/>
      <c r="R521" s="175"/>
      <c r="S521" s="175"/>
    </row>
    <row r="522" spans="1:19" ht="14.25" customHeight="1">
      <c r="A522" s="175"/>
      <c r="B522" s="175"/>
      <c r="C522" s="175"/>
      <c r="D522" s="175"/>
      <c r="E522" s="175"/>
      <c r="F522" s="175"/>
      <c r="G522" s="175"/>
      <c r="H522" s="175"/>
      <c r="I522" s="175"/>
      <c r="J522" s="175"/>
      <c r="K522" s="175"/>
      <c r="L522" s="175"/>
      <c r="M522" s="175"/>
      <c r="N522" s="175"/>
      <c r="O522" s="175"/>
      <c r="P522" s="175"/>
      <c r="Q522" s="175"/>
      <c r="R522" s="175"/>
      <c r="S522" s="175"/>
    </row>
    <row r="523" spans="1:19" ht="14.25" customHeight="1">
      <c r="A523" s="175"/>
      <c r="B523" s="175"/>
      <c r="C523" s="175"/>
      <c r="D523" s="175"/>
      <c r="E523" s="175"/>
      <c r="F523" s="175"/>
      <c r="G523" s="175"/>
      <c r="H523" s="175"/>
      <c r="I523" s="175"/>
      <c r="J523" s="175"/>
      <c r="K523" s="175"/>
      <c r="L523" s="175"/>
      <c r="M523" s="175"/>
      <c r="N523" s="175"/>
      <c r="O523" s="175"/>
      <c r="P523" s="175"/>
      <c r="Q523" s="175"/>
      <c r="R523" s="175"/>
      <c r="S523" s="175"/>
    </row>
    <row r="524" spans="1:19" ht="14.25" customHeight="1">
      <c r="A524" s="175"/>
      <c r="B524" s="175"/>
      <c r="C524" s="175"/>
      <c r="D524" s="175"/>
      <c r="E524" s="175"/>
      <c r="F524" s="175"/>
      <c r="G524" s="175"/>
      <c r="H524" s="175"/>
      <c r="I524" s="175"/>
      <c r="J524" s="175"/>
      <c r="K524" s="175"/>
      <c r="L524" s="175"/>
      <c r="M524" s="175"/>
      <c r="N524" s="175"/>
      <c r="O524" s="175"/>
      <c r="P524" s="175"/>
      <c r="Q524" s="175"/>
      <c r="R524" s="175"/>
      <c r="S524" s="175"/>
    </row>
    <row r="525" spans="1:19" ht="14.25" customHeight="1">
      <c r="A525" s="175"/>
      <c r="B525" s="175"/>
      <c r="C525" s="175"/>
      <c r="D525" s="175"/>
      <c r="E525" s="175"/>
      <c r="F525" s="175"/>
      <c r="G525" s="175"/>
      <c r="H525" s="175"/>
      <c r="I525" s="175"/>
      <c r="J525" s="175"/>
      <c r="K525" s="175"/>
      <c r="L525" s="175"/>
      <c r="M525" s="175"/>
      <c r="N525" s="175"/>
      <c r="O525" s="175"/>
      <c r="P525" s="175"/>
      <c r="Q525" s="175"/>
      <c r="R525" s="175"/>
      <c r="S525" s="175"/>
    </row>
    <row r="526" spans="1:19" ht="14.25" customHeight="1">
      <c r="A526" s="175"/>
      <c r="B526" s="175"/>
      <c r="C526" s="175"/>
      <c r="D526" s="175"/>
      <c r="E526" s="175"/>
      <c r="F526" s="175"/>
      <c r="G526" s="175"/>
      <c r="H526" s="175"/>
      <c r="I526" s="175"/>
      <c r="J526" s="175"/>
      <c r="K526" s="175"/>
      <c r="L526" s="175"/>
      <c r="M526" s="175"/>
      <c r="N526" s="175"/>
      <c r="O526" s="175"/>
      <c r="P526" s="175"/>
      <c r="Q526" s="175"/>
      <c r="R526" s="175"/>
      <c r="S526" s="175"/>
    </row>
    <row r="527" spans="1:19" ht="14.25" customHeight="1">
      <c r="A527" s="175"/>
      <c r="B527" s="175"/>
      <c r="C527" s="175"/>
      <c r="D527" s="175"/>
      <c r="E527" s="175"/>
      <c r="F527" s="175"/>
      <c r="G527" s="175"/>
      <c r="H527" s="175"/>
      <c r="I527" s="175"/>
      <c r="J527" s="175"/>
      <c r="K527" s="175"/>
      <c r="L527" s="175"/>
      <c r="M527" s="175"/>
      <c r="N527" s="175"/>
      <c r="O527" s="175"/>
      <c r="P527" s="175"/>
      <c r="Q527" s="175"/>
      <c r="R527" s="175"/>
      <c r="S527" s="175"/>
    </row>
    <row r="528" spans="1:19" ht="14.25" customHeight="1">
      <c r="A528" s="175"/>
      <c r="B528" s="175"/>
      <c r="C528" s="175"/>
      <c r="D528" s="175"/>
      <c r="E528" s="175"/>
      <c r="F528" s="175"/>
      <c r="G528" s="175"/>
      <c r="H528" s="175"/>
      <c r="I528" s="175"/>
      <c r="J528" s="175"/>
      <c r="K528" s="175"/>
      <c r="L528" s="175"/>
      <c r="M528" s="175"/>
      <c r="N528" s="175"/>
      <c r="O528" s="175"/>
      <c r="P528" s="175"/>
      <c r="Q528" s="175"/>
      <c r="R528" s="175"/>
      <c r="S528" s="175"/>
    </row>
    <row r="529" spans="1:19" ht="14.25" customHeight="1">
      <c r="A529" s="175"/>
      <c r="B529" s="175"/>
      <c r="C529" s="175"/>
      <c r="D529" s="175"/>
      <c r="E529" s="175"/>
      <c r="F529" s="175"/>
      <c r="G529" s="175"/>
      <c r="H529" s="175"/>
      <c r="I529" s="175"/>
      <c r="J529" s="175"/>
      <c r="K529" s="175"/>
      <c r="L529" s="175"/>
      <c r="M529" s="175"/>
      <c r="N529" s="175"/>
      <c r="O529" s="175"/>
      <c r="P529" s="175"/>
      <c r="Q529" s="175"/>
      <c r="R529" s="175"/>
      <c r="S529" s="175"/>
    </row>
    <row r="530" spans="1:19" ht="14.25" customHeight="1">
      <c r="A530" s="175"/>
      <c r="B530" s="175"/>
      <c r="C530" s="175"/>
      <c r="D530" s="175"/>
      <c r="E530" s="175"/>
      <c r="F530" s="175"/>
      <c r="G530" s="175"/>
      <c r="H530" s="175"/>
      <c r="I530" s="175"/>
      <c r="J530" s="175"/>
      <c r="K530" s="175"/>
      <c r="L530" s="175"/>
      <c r="M530" s="175"/>
      <c r="N530" s="175"/>
      <c r="O530" s="175"/>
      <c r="P530" s="175"/>
      <c r="Q530" s="175"/>
      <c r="R530" s="175"/>
      <c r="S530" s="175"/>
    </row>
    <row r="531" spans="1:19" ht="14.25" customHeight="1">
      <c r="A531" s="175"/>
      <c r="B531" s="175"/>
      <c r="C531" s="175"/>
      <c r="D531" s="175"/>
      <c r="E531" s="175"/>
      <c r="F531" s="175"/>
      <c r="G531" s="175"/>
      <c r="H531" s="175"/>
      <c r="I531" s="175"/>
      <c r="J531" s="175"/>
      <c r="K531" s="175"/>
      <c r="L531" s="175"/>
      <c r="M531" s="175"/>
      <c r="N531" s="175"/>
      <c r="O531" s="175"/>
      <c r="P531" s="175"/>
      <c r="Q531" s="175"/>
      <c r="R531" s="175"/>
      <c r="S531" s="175"/>
    </row>
    <row r="532" spans="1:19" ht="14.25" customHeight="1">
      <c r="A532" s="175"/>
      <c r="B532" s="175"/>
      <c r="C532" s="175"/>
      <c r="D532" s="175"/>
      <c r="E532" s="175"/>
      <c r="F532" s="175"/>
      <c r="G532" s="175"/>
      <c r="H532" s="175"/>
      <c r="I532" s="175"/>
      <c r="J532" s="175"/>
      <c r="K532" s="175"/>
      <c r="L532" s="175"/>
      <c r="M532" s="175"/>
      <c r="N532" s="175"/>
      <c r="O532" s="175"/>
      <c r="P532" s="175"/>
      <c r="Q532" s="175"/>
      <c r="R532" s="175"/>
      <c r="S532" s="175"/>
    </row>
    <row r="533" spans="1:19" ht="14.25" customHeight="1">
      <c r="A533" s="175"/>
      <c r="B533" s="175"/>
      <c r="C533" s="175"/>
      <c r="D533" s="175"/>
      <c r="E533" s="175"/>
      <c r="F533" s="175"/>
      <c r="G533" s="175"/>
      <c r="H533" s="175"/>
      <c r="I533" s="175"/>
      <c r="J533" s="175"/>
      <c r="K533" s="175"/>
      <c r="L533" s="175"/>
      <c r="M533" s="175"/>
      <c r="N533" s="175"/>
      <c r="O533" s="175"/>
      <c r="P533" s="175"/>
      <c r="Q533" s="175"/>
      <c r="R533" s="175"/>
      <c r="S533" s="175"/>
    </row>
    <row r="534" spans="1:19" ht="14.25" customHeight="1">
      <c r="A534" s="175"/>
      <c r="B534" s="175"/>
      <c r="C534" s="175"/>
      <c r="D534" s="175"/>
      <c r="E534" s="175"/>
      <c r="F534" s="175"/>
      <c r="G534" s="175"/>
      <c r="H534" s="175"/>
      <c r="I534" s="175"/>
      <c r="J534" s="175"/>
      <c r="K534" s="175"/>
      <c r="L534" s="175"/>
      <c r="M534" s="175"/>
      <c r="N534" s="175"/>
      <c r="O534" s="175"/>
      <c r="P534" s="175"/>
      <c r="Q534" s="175"/>
      <c r="R534" s="175"/>
      <c r="S534" s="175"/>
    </row>
    <row r="535" spans="1:19" ht="14.25" customHeight="1">
      <c r="A535" s="175"/>
      <c r="B535" s="175"/>
      <c r="C535" s="175"/>
      <c r="D535" s="175"/>
      <c r="E535" s="175"/>
      <c r="F535" s="175"/>
      <c r="G535" s="175"/>
      <c r="H535" s="175"/>
      <c r="I535" s="175"/>
      <c r="J535" s="175"/>
      <c r="K535" s="175"/>
      <c r="L535" s="175"/>
      <c r="M535" s="175"/>
      <c r="N535" s="175"/>
      <c r="O535" s="175"/>
      <c r="P535" s="175"/>
      <c r="Q535" s="175"/>
      <c r="R535" s="175"/>
      <c r="S535" s="175"/>
    </row>
    <row r="536" spans="1:19" ht="14.25" customHeight="1">
      <c r="A536" s="175"/>
      <c r="B536" s="175"/>
      <c r="C536" s="175"/>
      <c r="D536" s="175"/>
      <c r="E536" s="175"/>
      <c r="F536" s="175"/>
      <c r="G536" s="175"/>
      <c r="H536" s="175"/>
      <c r="I536" s="175"/>
      <c r="J536" s="175"/>
      <c r="K536" s="175"/>
      <c r="L536" s="175"/>
      <c r="M536" s="175"/>
      <c r="N536" s="175"/>
      <c r="O536" s="175"/>
      <c r="P536" s="175"/>
      <c r="Q536" s="175"/>
      <c r="R536" s="175"/>
      <c r="S536" s="175"/>
    </row>
    <row r="537" spans="1:19" ht="14.25" customHeight="1">
      <c r="A537" s="175"/>
      <c r="B537" s="175"/>
      <c r="C537" s="175"/>
      <c r="D537" s="175"/>
      <c r="E537" s="175"/>
      <c r="F537" s="175"/>
      <c r="G537" s="175"/>
      <c r="H537" s="175"/>
      <c r="I537" s="175"/>
      <c r="J537" s="175"/>
      <c r="K537" s="175"/>
      <c r="L537" s="175"/>
      <c r="M537" s="175"/>
      <c r="N537" s="175"/>
      <c r="O537" s="175"/>
      <c r="P537" s="175"/>
      <c r="Q537" s="175"/>
      <c r="R537" s="175"/>
      <c r="S537" s="175"/>
    </row>
    <row r="538" spans="1:19" ht="14.25" customHeight="1">
      <c r="A538" s="175"/>
      <c r="B538" s="175"/>
      <c r="C538" s="175"/>
      <c r="D538" s="175"/>
      <c r="E538" s="175"/>
      <c r="F538" s="175"/>
      <c r="G538" s="175"/>
      <c r="H538" s="175"/>
      <c r="I538" s="175"/>
      <c r="J538" s="175"/>
      <c r="K538" s="175"/>
      <c r="L538" s="175"/>
      <c r="M538" s="175"/>
      <c r="N538" s="175"/>
      <c r="O538" s="175"/>
      <c r="P538" s="175"/>
      <c r="Q538" s="175"/>
      <c r="R538" s="175"/>
      <c r="S538" s="175"/>
    </row>
    <row r="539" spans="1:19" ht="14.25" customHeight="1">
      <c r="A539" s="175"/>
      <c r="B539" s="175"/>
      <c r="C539" s="175"/>
      <c r="D539" s="175"/>
      <c r="E539" s="175"/>
      <c r="F539" s="175"/>
      <c r="G539" s="175"/>
      <c r="H539" s="175"/>
      <c r="I539" s="175"/>
      <c r="J539" s="175"/>
      <c r="K539" s="175"/>
      <c r="L539" s="175"/>
      <c r="M539" s="175"/>
      <c r="N539" s="175"/>
      <c r="O539" s="175"/>
      <c r="P539" s="175"/>
      <c r="Q539" s="175"/>
      <c r="R539" s="175"/>
      <c r="S539" s="175"/>
    </row>
    <row r="540" spans="1:19" ht="14.25" customHeight="1">
      <c r="A540" s="175"/>
      <c r="B540" s="175"/>
      <c r="C540" s="175"/>
      <c r="D540" s="175"/>
      <c r="E540" s="175"/>
      <c r="F540" s="175"/>
      <c r="G540" s="175"/>
      <c r="H540" s="175"/>
      <c r="I540" s="175"/>
      <c r="J540" s="175"/>
      <c r="K540" s="175"/>
      <c r="L540" s="175"/>
      <c r="M540" s="175"/>
      <c r="N540" s="175"/>
      <c r="O540" s="175"/>
      <c r="P540" s="175"/>
      <c r="Q540" s="175"/>
      <c r="R540" s="175"/>
      <c r="S540" s="175"/>
    </row>
    <row r="541" spans="1:19" ht="14.25" customHeight="1">
      <c r="A541" s="175"/>
      <c r="B541" s="175"/>
      <c r="C541" s="175"/>
      <c r="D541" s="175"/>
      <c r="E541" s="175"/>
      <c r="F541" s="175"/>
      <c r="G541" s="175"/>
      <c r="H541" s="175"/>
      <c r="I541" s="175"/>
      <c r="J541" s="175"/>
      <c r="K541" s="175"/>
      <c r="L541" s="175"/>
      <c r="M541" s="175"/>
      <c r="N541" s="175"/>
      <c r="O541" s="175"/>
      <c r="P541" s="175"/>
      <c r="Q541" s="175"/>
      <c r="R541" s="175"/>
      <c r="S541" s="175"/>
    </row>
    <row r="542" spans="1:19" ht="14.25" customHeight="1">
      <c r="A542" s="175"/>
      <c r="B542" s="175"/>
      <c r="C542" s="175"/>
      <c r="D542" s="175"/>
      <c r="E542" s="175"/>
      <c r="F542" s="175"/>
      <c r="G542" s="175"/>
      <c r="H542" s="175"/>
      <c r="I542" s="175"/>
      <c r="J542" s="175"/>
      <c r="K542" s="175"/>
      <c r="L542" s="175"/>
      <c r="M542" s="175"/>
      <c r="N542" s="175"/>
      <c r="O542" s="175"/>
      <c r="P542" s="175"/>
      <c r="Q542" s="175"/>
      <c r="R542" s="175"/>
      <c r="S542" s="175"/>
    </row>
    <row r="543" spans="1:19" ht="14.25" customHeight="1">
      <c r="A543" s="175"/>
      <c r="B543" s="175"/>
      <c r="C543" s="175"/>
      <c r="D543" s="175"/>
      <c r="E543" s="175"/>
      <c r="F543" s="175"/>
      <c r="G543" s="175"/>
      <c r="H543" s="175"/>
      <c r="I543" s="175"/>
      <c r="J543" s="175"/>
      <c r="K543" s="175"/>
      <c r="L543" s="175"/>
      <c r="M543" s="175"/>
      <c r="N543" s="175"/>
      <c r="O543" s="175"/>
      <c r="P543" s="175"/>
      <c r="Q543" s="175"/>
      <c r="R543" s="175"/>
      <c r="S543" s="175"/>
    </row>
    <row r="544" spans="1:19" ht="14.25" customHeight="1">
      <c r="A544" s="175"/>
      <c r="B544" s="175"/>
      <c r="C544" s="175"/>
      <c r="D544" s="175"/>
      <c r="E544" s="175"/>
      <c r="F544" s="175"/>
      <c r="G544" s="175"/>
      <c r="H544" s="175"/>
      <c r="I544" s="175"/>
      <c r="J544" s="175"/>
      <c r="K544" s="175"/>
      <c r="L544" s="175"/>
      <c r="M544" s="175"/>
      <c r="N544" s="175"/>
      <c r="O544" s="175"/>
      <c r="P544" s="175"/>
      <c r="Q544" s="175"/>
      <c r="R544" s="175"/>
      <c r="S544" s="175"/>
    </row>
    <row r="545" spans="1:19" ht="14.25" customHeight="1">
      <c r="A545" s="175"/>
      <c r="B545" s="175"/>
      <c r="C545" s="175"/>
      <c r="D545" s="175"/>
      <c r="E545" s="175"/>
      <c r="F545" s="175"/>
      <c r="G545" s="175"/>
      <c r="H545" s="175"/>
      <c r="I545" s="175"/>
      <c r="J545" s="175"/>
      <c r="K545" s="175"/>
      <c r="L545" s="175"/>
      <c r="M545" s="175"/>
      <c r="N545" s="175"/>
      <c r="O545" s="175"/>
      <c r="P545" s="175"/>
      <c r="Q545" s="175"/>
      <c r="R545" s="175"/>
      <c r="S545" s="175"/>
    </row>
    <row r="546" spans="1:19" ht="14.25" customHeight="1">
      <c r="A546" s="175"/>
      <c r="B546" s="175"/>
      <c r="C546" s="175"/>
      <c r="D546" s="175"/>
      <c r="E546" s="175"/>
      <c r="F546" s="175"/>
      <c r="G546" s="175"/>
      <c r="H546" s="175"/>
      <c r="I546" s="175"/>
      <c r="J546" s="175"/>
      <c r="K546" s="175"/>
      <c r="L546" s="175"/>
      <c r="M546" s="175"/>
      <c r="N546" s="175"/>
      <c r="O546" s="175"/>
      <c r="P546" s="175"/>
      <c r="Q546" s="175"/>
      <c r="R546" s="175"/>
      <c r="S546" s="175"/>
    </row>
    <row r="547" spans="1:19" ht="14.25" customHeight="1">
      <c r="A547" s="175"/>
      <c r="B547" s="175"/>
      <c r="C547" s="175"/>
      <c r="D547" s="175"/>
      <c r="E547" s="175"/>
      <c r="F547" s="175"/>
      <c r="G547" s="175"/>
      <c r="H547" s="175"/>
      <c r="I547" s="175"/>
      <c r="J547" s="175"/>
      <c r="K547" s="175"/>
      <c r="L547" s="175"/>
      <c r="M547" s="175"/>
      <c r="N547" s="175"/>
      <c r="O547" s="175"/>
      <c r="P547" s="175"/>
      <c r="Q547" s="175"/>
      <c r="R547" s="175"/>
      <c r="S547" s="175"/>
    </row>
    <row r="548" spans="1:19" ht="14.25" customHeight="1">
      <c r="A548" s="175"/>
      <c r="B548" s="175"/>
      <c r="C548" s="175"/>
      <c r="D548" s="175"/>
      <c r="E548" s="175"/>
      <c r="F548" s="175"/>
      <c r="G548" s="175"/>
      <c r="H548" s="175"/>
      <c r="I548" s="175"/>
      <c r="J548" s="175"/>
      <c r="K548" s="175"/>
      <c r="L548" s="175"/>
      <c r="M548" s="175"/>
      <c r="N548" s="175"/>
      <c r="O548" s="175"/>
      <c r="P548" s="175"/>
      <c r="Q548" s="175"/>
      <c r="R548" s="175"/>
      <c r="S548" s="175"/>
    </row>
    <row r="549" spans="1:19" ht="14.25" customHeight="1">
      <c r="A549" s="175"/>
      <c r="B549" s="175"/>
      <c r="C549" s="175"/>
      <c r="D549" s="175"/>
      <c r="E549" s="175"/>
      <c r="F549" s="175"/>
      <c r="G549" s="175"/>
      <c r="H549" s="175"/>
      <c r="I549" s="175"/>
      <c r="J549" s="175"/>
      <c r="K549" s="175"/>
      <c r="L549" s="175"/>
      <c r="M549" s="175"/>
      <c r="N549" s="175"/>
      <c r="O549" s="175"/>
      <c r="P549" s="175"/>
      <c r="Q549" s="175"/>
      <c r="R549" s="175"/>
      <c r="S549" s="175"/>
    </row>
    <row r="550" spans="1:19" ht="14.25" customHeight="1">
      <c r="A550" s="175"/>
      <c r="B550" s="175"/>
      <c r="C550" s="175"/>
      <c r="D550" s="175"/>
      <c r="E550" s="175"/>
      <c r="F550" s="175"/>
      <c r="G550" s="175"/>
      <c r="H550" s="175"/>
      <c r="I550" s="175"/>
      <c r="J550" s="175"/>
      <c r="K550" s="175"/>
      <c r="L550" s="175"/>
      <c r="M550" s="175"/>
      <c r="N550" s="175"/>
      <c r="O550" s="175"/>
      <c r="P550" s="175"/>
      <c r="Q550" s="175"/>
      <c r="R550" s="175"/>
      <c r="S550" s="175"/>
    </row>
    <row r="551" spans="1:19" ht="14.25" customHeight="1">
      <c r="A551" s="175"/>
      <c r="B551" s="175"/>
      <c r="C551" s="175"/>
      <c r="D551" s="175"/>
      <c r="E551" s="175"/>
      <c r="F551" s="175"/>
      <c r="G551" s="175"/>
      <c r="H551" s="175"/>
      <c r="I551" s="175"/>
      <c r="J551" s="175"/>
      <c r="K551" s="175"/>
      <c r="L551" s="175"/>
      <c r="M551" s="175"/>
      <c r="N551" s="175"/>
      <c r="O551" s="175"/>
      <c r="P551" s="175"/>
      <c r="Q551" s="175"/>
      <c r="R551" s="175"/>
      <c r="S551" s="175"/>
    </row>
    <row r="552" spans="1:19" ht="14.25" customHeight="1">
      <c r="A552" s="175"/>
      <c r="B552" s="175"/>
      <c r="C552" s="175"/>
      <c r="D552" s="175"/>
      <c r="E552" s="175"/>
      <c r="F552" s="175"/>
      <c r="G552" s="175"/>
      <c r="H552" s="175"/>
      <c r="I552" s="175"/>
      <c r="J552" s="175"/>
      <c r="K552" s="175"/>
      <c r="L552" s="175"/>
      <c r="M552" s="175"/>
      <c r="N552" s="175"/>
      <c r="O552" s="175"/>
      <c r="P552" s="175"/>
      <c r="Q552" s="175"/>
      <c r="R552" s="175"/>
      <c r="S552" s="175"/>
    </row>
    <row r="553" spans="1:19" ht="14.25" customHeight="1">
      <c r="A553" s="175"/>
      <c r="B553" s="175"/>
      <c r="C553" s="175"/>
      <c r="D553" s="175"/>
      <c r="E553" s="175"/>
      <c r="F553" s="175"/>
      <c r="G553" s="175"/>
      <c r="H553" s="175"/>
      <c r="I553" s="175"/>
      <c r="J553" s="175"/>
      <c r="K553" s="175"/>
      <c r="L553" s="175"/>
      <c r="M553" s="175"/>
      <c r="N553" s="175"/>
      <c r="O553" s="175"/>
      <c r="P553" s="175"/>
      <c r="Q553" s="175"/>
      <c r="R553" s="175"/>
      <c r="S553" s="175"/>
    </row>
    <row r="554" spans="1:19" ht="14.25" customHeight="1">
      <c r="A554" s="175"/>
      <c r="B554" s="175"/>
      <c r="C554" s="175"/>
      <c r="D554" s="175"/>
      <c r="E554" s="175"/>
      <c r="F554" s="175"/>
      <c r="G554" s="175"/>
      <c r="H554" s="175"/>
      <c r="I554" s="175"/>
      <c r="J554" s="175"/>
      <c r="K554" s="175"/>
      <c r="L554" s="175"/>
      <c r="M554" s="175"/>
      <c r="N554" s="175"/>
      <c r="O554" s="175"/>
      <c r="P554" s="175"/>
      <c r="Q554" s="175"/>
      <c r="R554" s="175"/>
      <c r="S554" s="175"/>
    </row>
    <row r="555" spans="1:19" ht="14.25" customHeight="1">
      <c r="A555" s="175"/>
      <c r="B555" s="175"/>
      <c r="C555" s="175"/>
      <c r="D555" s="175"/>
      <c r="E555" s="175"/>
      <c r="F555" s="175"/>
      <c r="G555" s="175"/>
      <c r="H555" s="175"/>
      <c r="I555" s="175"/>
      <c r="J555" s="175"/>
      <c r="K555" s="175"/>
      <c r="L555" s="175"/>
      <c r="M555" s="175"/>
      <c r="N555" s="175"/>
      <c r="O555" s="175"/>
      <c r="P555" s="175"/>
      <c r="Q555" s="175"/>
      <c r="R555" s="175"/>
      <c r="S555" s="175"/>
    </row>
    <row r="556" spans="1:19" ht="14.25" customHeight="1">
      <c r="A556" s="175"/>
      <c r="B556" s="175"/>
      <c r="C556" s="175"/>
      <c r="D556" s="175"/>
      <c r="E556" s="175"/>
      <c r="F556" s="175"/>
      <c r="G556" s="175"/>
      <c r="H556" s="175"/>
      <c r="I556" s="175"/>
      <c r="J556" s="175"/>
      <c r="K556" s="175"/>
      <c r="L556" s="175"/>
      <c r="M556" s="175"/>
      <c r="N556" s="175"/>
      <c r="O556" s="175"/>
      <c r="P556" s="175"/>
      <c r="Q556" s="175"/>
      <c r="R556" s="175"/>
      <c r="S556" s="175"/>
    </row>
    <row r="557" spans="1:19" ht="14.25" customHeight="1">
      <c r="A557" s="175"/>
      <c r="B557" s="175"/>
      <c r="C557" s="175"/>
      <c r="D557" s="175"/>
      <c r="E557" s="175"/>
      <c r="F557" s="175"/>
      <c r="G557" s="175"/>
      <c r="H557" s="175"/>
      <c r="I557" s="175"/>
      <c r="J557" s="175"/>
      <c r="K557" s="175"/>
      <c r="L557" s="175"/>
      <c r="M557" s="175"/>
      <c r="N557" s="175"/>
      <c r="O557" s="175"/>
      <c r="P557" s="175"/>
      <c r="Q557" s="175"/>
      <c r="R557" s="175"/>
      <c r="S557" s="175"/>
    </row>
    <row r="558" spans="1:19" ht="14.25" customHeight="1">
      <c r="A558" s="175"/>
      <c r="B558" s="175"/>
      <c r="C558" s="175"/>
      <c r="D558" s="175"/>
      <c r="E558" s="175"/>
      <c r="F558" s="175"/>
      <c r="G558" s="175"/>
      <c r="H558" s="175"/>
      <c r="I558" s="175"/>
      <c r="J558" s="175"/>
      <c r="K558" s="175"/>
      <c r="L558" s="175"/>
      <c r="M558" s="175"/>
      <c r="N558" s="175"/>
      <c r="O558" s="175"/>
      <c r="P558" s="175"/>
      <c r="Q558" s="175"/>
      <c r="R558" s="175"/>
      <c r="S558" s="175"/>
    </row>
    <row r="559" spans="1:19" ht="14.25" customHeight="1">
      <c r="A559" s="175"/>
      <c r="B559" s="175"/>
      <c r="C559" s="175"/>
      <c r="D559" s="175"/>
      <c r="E559" s="175"/>
      <c r="F559" s="175"/>
      <c r="G559" s="175"/>
      <c r="H559" s="175"/>
      <c r="I559" s="175"/>
      <c r="J559" s="175"/>
      <c r="K559" s="175"/>
      <c r="L559" s="175"/>
      <c r="M559" s="175"/>
      <c r="N559" s="175"/>
      <c r="O559" s="175"/>
      <c r="P559" s="175"/>
      <c r="Q559" s="175"/>
      <c r="R559" s="175"/>
      <c r="S559" s="175"/>
    </row>
    <row r="560" spans="1:19" ht="14.25" customHeight="1">
      <c r="A560" s="175"/>
      <c r="B560" s="175"/>
      <c r="C560" s="175"/>
      <c r="D560" s="175"/>
      <c r="E560" s="175"/>
      <c r="F560" s="175"/>
      <c r="G560" s="175"/>
      <c r="H560" s="175"/>
      <c r="I560" s="175"/>
      <c r="J560" s="175"/>
      <c r="K560" s="175"/>
      <c r="L560" s="175"/>
      <c r="M560" s="175"/>
      <c r="N560" s="175"/>
      <c r="O560" s="175"/>
      <c r="P560" s="175"/>
      <c r="Q560" s="175"/>
      <c r="R560" s="175"/>
      <c r="S560" s="175"/>
    </row>
    <row r="561" spans="1:19" ht="14.25" customHeight="1">
      <c r="A561" s="175"/>
      <c r="B561" s="175"/>
      <c r="C561" s="175"/>
      <c r="D561" s="175"/>
      <c r="E561" s="175"/>
      <c r="F561" s="175"/>
      <c r="G561" s="175"/>
      <c r="H561" s="175"/>
      <c r="I561" s="175"/>
      <c r="J561" s="175"/>
      <c r="K561" s="175"/>
      <c r="L561" s="175"/>
      <c r="M561" s="175"/>
      <c r="N561" s="175"/>
      <c r="O561" s="175"/>
      <c r="P561" s="175"/>
      <c r="Q561" s="175"/>
      <c r="R561" s="175"/>
      <c r="S561" s="175"/>
    </row>
    <row r="562" spans="1:19" ht="14.25" customHeight="1">
      <c r="A562" s="175"/>
      <c r="B562" s="175"/>
      <c r="C562" s="175"/>
      <c r="D562" s="175"/>
      <c r="E562" s="175"/>
      <c r="F562" s="175"/>
      <c r="G562" s="175"/>
      <c r="H562" s="175"/>
      <c r="I562" s="175"/>
      <c r="J562" s="175"/>
      <c r="K562" s="175"/>
      <c r="L562" s="175"/>
      <c r="M562" s="175"/>
      <c r="N562" s="175"/>
      <c r="O562" s="175"/>
      <c r="P562" s="175"/>
      <c r="Q562" s="175"/>
      <c r="R562" s="175"/>
      <c r="S562" s="175"/>
    </row>
    <row r="563" spans="1:19" ht="14.25" customHeight="1">
      <c r="A563" s="175"/>
      <c r="B563" s="175"/>
      <c r="C563" s="175"/>
      <c r="D563" s="175"/>
      <c r="E563" s="175"/>
      <c r="F563" s="175"/>
      <c r="G563" s="175"/>
      <c r="H563" s="175"/>
      <c r="I563" s="175"/>
      <c r="J563" s="175"/>
      <c r="K563" s="175"/>
      <c r="L563" s="175"/>
      <c r="M563" s="175"/>
      <c r="N563" s="175"/>
      <c r="O563" s="175"/>
      <c r="P563" s="175"/>
      <c r="Q563" s="175"/>
      <c r="R563" s="175"/>
      <c r="S563" s="175"/>
    </row>
    <row r="564" spans="1:19" ht="14.25" customHeight="1">
      <c r="A564" s="175"/>
      <c r="B564" s="175"/>
      <c r="C564" s="175"/>
      <c r="D564" s="175"/>
      <c r="E564" s="175"/>
      <c r="F564" s="175"/>
      <c r="G564" s="175"/>
      <c r="H564" s="175"/>
      <c r="I564" s="175"/>
      <c r="J564" s="175"/>
      <c r="K564" s="175"/>
      <c r="L564" s="175"/>
      <c r="M564" s="175"/>
      <c r="N564" s="175"/>
      <c r="O564" s="175"/>
      <c r="P564" s="175"/>
      <c r="Q564" s="175"/>
      <c r="R564" s="175"/>
      <c r="S564" s="175"/>
    </row>
    <row r="565" spans="1:19" ht="14.25" customHeight="1">
      <c r="A565" s="175"/>
      <c r="B565" s="175"/>
      <c r="C565" s="175"/>
      <c r="D565" s="175"/>
      <c r="E565" s="175"/>
      <c r="F565" s="175"/>
      <c r="G565" s="175"/>
      <c r="H565" s="175"/>
      <c r="I565" s="175"/>
      <c r="J565" s="175"/>
      <c r="K565" s="175"/>
      <c r="L565" s="175"/>
      <c r="M565" s="175"/>
      <c r="N565" s="175"/>
      <c r="O565" s="175"/>
      <c r="P565" s="175"/>
      <c r="Q565" s="175"/>
      <c r="R565" s="175"/>
      <c r="S565" s="175"/>
    </row>
    <row r="566" spans="1:19" ht="14.25" customHeight="1">
      <c r="A566" s="175"/>
      <c r="B566" s="175"/>
      <c r="C566" s="175"/>
      <c r="D566" s="175"/>
      <c r="E566" s="175"/>
      <c r="F566" s="175"/>
      <c r="G566" s="175"/>
      <c r="H566" s="175"/>
      <c r="I566" s="175"/>
      <c r="J566" s="175"/>
      <c r="K566" s="175"/>
      <c r="L566" s="175"/>
      <c r="M566" s="175"/>
      <c r="N566" s="175"/>
      <c r="O566" s="175"/>
      <c r="P566" s="175"/>
      <c r="Q566" s="175"/>
      <c r="R566" s="175"/>
      <c r="S566" s="175"/>
    </row>
    <row r="567" spans="1:19" ht="14.25" customHeight="1">
      <c r="A567" s="175"/>
      <c r="B567" s="175"/>
      <c r="C567" s="175"/>
      <c r="D567" s="175"/>
      <c r="E567" s="175"/>
      <c r="F567" s="175"/>
      <c r="G567" s="175"/>
      <c r="H567" s="175"/>
      <c r="I567" s="175"/>
      <c r="J567" s="175"/>
      <c r="K567" s="175"/>
      <c r="L567" s="175"/>
      <c r="M567" s="175"/>
      <c r="N567" s="175"/>
      <c r="O567" s="175"/>
      <c r="P567" s="175"/>
      <c r="Q567" s="175"/>
      <c r="R567" s="175"/>
      <c r="S567" s="175"/>
    </row>
    <row r="568" spans="1:19" ht="14.25" customHeight="1">
      <c r="A568" s="175"/>
      <c r="B568" s="175"/>
      <c r="C568" s="175"/>
      <c r="D568" s="175"/>
      <c r="E568" s="175"/>
      <c r="F568" s="175"/>
      <c r="G568" s="175"/>
      <c r="H568" s="175"/>
      <c r="I568" s="175"/>
      <c r="J568" s="175"/>
      <c r="K568" s="175"/>
      <c r="L568" s="175"/>
      <c r="M568" s="175"/>
      <c r="N568" s="175"/>
      <c r="O568" s="175"/>
      <c r="P568" s="175"/>
      <c r="Q568" s="175"/>
      <c r="R568" s="175"/>
      <c r="S568" s="175"/>
    </row>
    <row r="569" spans="1:19" ht="14.25" customHeight="1">
      <c r="A569" s="175"/>
      <c r="B569" s="175"/>
      <c r="C569" s="175"/>
      <c r="D569" s="175"/>
      <c r="E569" s="175"/>
      <c r="F569" s="175"/>
      <c r="G569" s="175"/>
      <c r="H569" s="175"/>
      <c r="I569" s="175"/>
      <c r="J569" s="175"/>
      <c r="K569" s="175"/>
      <c r="L569" s="175"/>
      <c r="M569" s="175"/>
      <c r="N569" s="175"/>
      <c r="O569" s="175"/>
      <c r="P569" s="175"/>
      <c r="Q569" s="175"/>
      <c r="R569" s="175"/>
      <c r="S569" s="175"/>
    </row>
    <row r="570" spans="1:19" ht="14.25" customHeight="1">
      <c r="A570" s="175"/>
      <c r="B570" s="175"/>
      <c r="C570" s="175"/>
      <c r="D570" s="175"/>
      <c r="E570" s="175"/>
      <c r="F570" s="175"/>
      <c r="G570" s="175"/>
      <c r="H570" s="175"/>
      <c r="I570" s="175"/>
      <c r="J570" s="175"/>
      <c r="K570" s="175"/>
      <c r="L570" s="175"/>
      <c r="M570" s="175"/>
      <c r="N570" s="175"/>
      <c r="O570" s="175"/>
      <c r="P570" s="175"/>
      <c r="Q570" s="175"/>
      <c r="R570" s="175"/>
      <c r="S570" s="175"/>
    </row>
    <row r="571" spans="1:19" ht="14.25" customHeight="1">
      <c r="A571" s="175"/>
      <c r="B571" s="175"/>
      <c r="C571" s="175"/>
      <c r="D571" s="175"/>
      <c r="E571" s="175"/>
      <c r="F571" s="175"/>
      <c r="G571" s="175"/>
      <c r="H571" s="175"/>
      <c r="I571" s="175"/>
      <c r="J571" s="175"/>
      <c r="K571" s="175"/>
      <c r="L571" s="175"/>
      <c r="M571" s="175"/>
      <c r="N571" s="175"/>
      <c r="O571" s="175"/>
      <c r="P571" s="175"/>
      <c r="Q571" s="175"/>
      <c r="R571" s="175"/>
      <c r="S571" s="175"/>
    </row>
    <row r="572" spans="1:19" ht="14.25" customHeight="1">
      <c r="A572" s="175"/>
      <c r="B572" s="175"/>
      <c r="C572" s="175"/>
      <c r="D572" s="175"/>
      <c r="E572" s="175"/>
      <c r="F572" s="175"/>
      <c r="G572" s="175"/>
      <c r="H572" s="175"/>
      <c r="I572" s="175"/>
      <c r="J572" s="175"/>
      <c r="K572" s="175"/>
      <c r="L572" s="175"/>
      <c r="M572" s="175"/>
      <c r="N572" s="175"/>
      <c r="O572" s="175"/>
      <c r="P572" s="175"/>
      <c r="Q572" s="175"/>
      <c r="R572" s="175"/>
      <c r="S572" s="175"/>
    </row>
    <row r="573" spans="1:19" ht="14.25" customHeight="1">
      <c r="A573" s="175"/>
      <c r="B573" s="175"/>
      <c r="C573" s="175"/>
      <c r="D573" s="175"/>
      <c r="E573" s="175"/>
      <c r="F573" s="175"/>
      <c r="G573" s="175"/>
      <c r="H573" s="175"/>
      <c r="I573" s="175"/>
      <c r="J573" s="175"/>
      <c r="K573" s="175"/>
      <c r="L573" s="175"/>
      <c r="M573" s="175"/>
      <c r="N573" s="175"/>
      <c r="O573" s="175"/>
      <c r="P573" s="175"/>
      <c r="Q573" s="175"/>
      <c r="R573" s="175"/>
      <c r="S573" s="175"/>
    </row>
    <row r="574" spans="1:19" ht="14.25" customHeight="1">
      <c r="A574" s="175"/>
      <c r="B574" s="175"/>
      <c r="C574" s="175"/>
      <c r="D574" s="175"/>
      <c r="E574" s="175"/>
      <c r="F574" s="175"/>
      <c r="G574" s="175"/>
      <c r="H574" s="175"/>
      <c r="I574" s="175"/>
      <c r="J574" s="175"/>
      <c r="K574" s="175"/>
      <c r="L574" s="175"/>
      <c r="M574" s="175"/>
      <c r="N574" s="175"/>
      <c r="O574" s="175"/>
      <c r="P574" s="175"/>
      <c r="Q574" s="175"/>
      <c r="R574" s="175"/>
      <c r="S574" s="175"/>
    </row>
    <row r="575" spans="1:19" ht="14.25" customHeight="1">
      <c r="A575" s="175"/>
      <c r="B575" s="175"/>
      <c r="C575" s="175"/>
      <c r="D575" s="175"/>
      <c r="E575" s="175"/>
      <c r="F575" s="175"/>
      <c r="G575" s="175"/>
      <c r="H575" s="175"/>
      <c r="I575" s="175"/>
      <c r="J575" s="175"/>
      <c r="K575" s="175"/>
      <c r="L575" s="175"/>
      <c r="M575" s="175"/>
      <c r="N575" s="175"/>
      <c r="O575" s="175"/>
      <c r="P575" s="175"/>
      <c r="Q575" s="175"/>
      <c r="R575" s="175"/>
      <c r="S575" s="175"/>
    </row>
    <row r="576" spans="1:19" ht="14.25" customHeight="1">
      <c r="A576" s="175"/>
      <c r="B576" s="175"/>
      <c r="C576" s="175"/>
      <c r="D576" s="175"/>
      <c r="E576" s="175"/>
      <c r="F576" s="175"/>
      <c r="G576" s="175"/>
      <c r="H576" s="175"/>
      <c r="I576" s="175"/>
      <c r="J576" s="175"/>
      <c r="K576" s="175"/>
      <c r="L576" s="175"/>
      <c r="M576" s="175"/>
      <c r="N576" s="175"/>
      <c r="O576" s="175"/>
      <c r="P576" s="175"/>
      <c r="Q576" s="175"/>
      <c r="R576" s="175"/>
      <c r="S576" s="175"/>
    </row>
    <row r="577" spans="1:19" ht="14.25" customHeight="1">
      <c r="A577" s="175"/>
      <c r="B577" s="175"/>
      <c r="C577" s="175"/>
      <c r="D577" s="175"/>
      <c r="E577" s="175"/>
      <c r="F577" s="175"/>
      <c r="G577" s="175"/>
      <c r="H577" s="175"/>
      <c r="I577" s="175"/>
      <c r="J577" s="175"/>
      <c r="K577" s="175"/>
      <c r="L577" s="175"/>
      <c r="M577" s="175"/>
      <c r="N577" s="175"/>
      <c r="O577" s="175"/>
      <c r="P577" s="175"/>
      <c r="Q577" s="175"/>
      <c r="R577" s="175"/>
      <c r="S577" s="175"/>
    </row>
    <row r="578" spans="1:19" ht="14.25" customHeight="1">
      <c r="A578" s="175"/>
      <c r="B578" s="175"/>
      <c r="C578" s="175"/>
      <c r="D578" s="175"/>
      <c r="E578" s="175"/>
      <c r="F578" s="175"/>
      <c r="G578" s="175"/>
      <c r="H578" s="175"/>
      <c r="I578" s="175"/>
      <c r="J578" s="175"/>
      <c r="K578" s="175"/>
      <c r="L578" s="175"/>
      <c r="M578" s="175"/>
      <c r="N578" s="175"/>
      <c r="O578" s="175"/>
      <c r="P578" s="175"/>
      <c r="Q578" s="175"/>
      <c r="R578" s="175"/>
      <c r="S578" s="175"/>
    </row>
    <row r="579" spans="1:19" ht="14.25" customHeight="1">
      <c r="A579" s="175"/>
      <c r="B579" s="175"/>
      <c r="C579" s="175"/>
      <c r="D579" s="175"/>
      <c r="E579" s="175"/>
      <c r="F579" s="175"/>
      <c r="G579" s="175"/>
      <c r="H579" s="175"/>
      <c r="I579" s="175"/>
      <c r="J579" s="175"/>
      <c r="K579" s="175"/>
      <c r="L579" s="175"/>
      <c r="M579" s="175"/>
      <c r="N579" s="175"/>
      <c r="O579" s="175"/>
      <c r="P579" s="175"/>
      <c r="Q579" s="175"/>
      <c r="R579" s="175"/>
      <c r="S579" s="175"/>
    </row>
    <row r="580" spans="1:19" ht="14.25" customHeight="1">
      <c r="A580" s="175"/>
      <c r="B580" s="175"/>
      <c r="C580" s="175"/>
      <c r="D580" s="175"/>
      <c r="E580" s="175"/>
      <c r="F580" s="175"/>
      <c r="G580" s="175"/>
      <c r="H580" s="175"/>
      <c r="I580" s="175"/>
      <c r="J580" s="175"/>
      <c r="K580" s="175"/>
      <c r="L580" s="175"/>
      <c r="M580" s="175"/>
      <c r="N580" s="175"/>
      <c r="O580" s="175"/>
      <c r="P580" s="175"/>
      <c r="Q580" s="175"/>
      <c r="R580" s="175"/>
      <c r="S580" s="175"/>
    </row>
    <row r="581" spans="1:19" ht="14.25" customHeight="1">
      <c r="A581" s="175"/>
      <c r="B581" s="175"/>
      <c r="C581" s="175"/>
      <c r="D581" s="175"/>
      <c r="E581" s="175"/>
      <c r="F581" s="175"/>
      <c r="G581" s="175"/>
      <c r="H581" s="175"/>
      <c r="I581" s="175"/>
      <c r="J581" s="175"/>
      <c r="K581" s="175"/>
      <c r="L581" s="175"/>
      <c r="M581" s="175"/>
      <c r="N581" s="175"/>
      <c r="O581" s="175"/>
      <c r="P581" s="175"/>
      <c r="Q581" s="175"/>
      <c r="R581" s="175"/>
      <c r="S581" s="175"/>
    </row>
    <row r="582" spans="1:19" ht="14.25" customHeight="1">
      <c r="A582" s="175"/>
      <c r="B582" s="175"/>
      <c r="C582" s="175"/>
      <c r="D582" s="175"/>
      <c r="E582" s="175"/>
      <c r="F582" s="175"/>
      <c r="G582" s="175"/>
      <c r="H582" s="175"/>
      <c r="I582" s="175"/>
      <c r="J582" s="175"/>
      <c r="K582" s="175"/>
      <c r="L582" s="175"/>
      <c r="M582" s="175"/>
      <c r="N582" s="175"/>
      <c r="O582" s="175"/>
      <c r="P582" s="175"/>
      <c r="Q582" s="175"/>
      <c r="R582" s="175"/>
      <c r="S582" s="175"/>
    </row>
    <row r="583" spans="1:19" ht="14.25" customHeight="1">
      <c r="A583" s="175"/>
      <c r="B583" s="175"/>
      <c r="C583" s="175"/>
      <c r="D583" s="175"/>
      <c r="E583" s="175"/>
      <c r="F583" s="175"/>
      <c r="G583" s="175"/>
      <c r="H583" s="175"/>
      <c r="I583" s="175"/>
      <c r="J583" s="175"/>
      <c r="K583" s="175"/>
      <c r="L583" s="175"/>
      <c r="M583" s="175"/>
      <c r="N583" s="175"/>
      <c r="O583" s="175"/>
      <c r="P583" s="175"/>
      <c r="Q583" s="175"/>
      <c r="R583" s="175"/>
      <c r="S583" s="175"/>
    </row>
    <row r="584" spans="1:19" ht="14.25" customHeight="1">
      <c r="A584" s="175"/>
      <c r="B584" s="175"/>
      <c r="C584" s="175"/>
      <c r="D584" s="175"/>
      <c r="E584" s="175"/>
      <c r="F584" s="175"/>
      <c r="G584" s="175"/>
      <c r="H584" s="175"/>
      <c r="I584" s="175"/>
      <c r="J584" s="175"/>
      <c r="K584" s="175"/>
      <c r="L584" s="175"/>
      <c r="M584" s="175"/>
      <c r="N584" s="175"/>
      <c r="O584" s="175"/>
      <c r="P584" s="175"/>
      <c r="Q584" s="175"/>
      <c r="R584" s="175"/>
      <c r="S584" s="175"/>
    </row>
    <row r="585" spans="1:19" ht="14.25" customHeight="1">
      <c r="A585" s="175"/>
      <c r="B585" s="175"/>
      <c r="C585" s="175"/>
      <c r="D585" s="175"/>
      <c r="E585" s="175"/>
      <c r="F585" s="175"/>
      <c r="G585" s="175"/>
      <c r="H585" s="175"/>
      <c r="I585" s="175"/>
      <c r="J585" s="175"/>
      <c r="K585" s="175"/>
      <c r="L585" s="175"/>
      <c r="M585" s="175"/>
      <c r="N585" s="175"/>
      <c r="O585" s="175"/>
      <c r="P585" s="175"/>
      <c r="Q585" s="175"/>
      <c r="R585" s="175"/>
      <c r="S585" s="175"/>
    </row>
    <row r="586" spans="1:19" ht="14.25" customHeight="1">
      <c r="A586" s="175"/>
      <c r="B586" s="175"/>
      <c r="C586" s="175"/>
      <c r="D586" s="175"/>
      <c r="E586" s="175"/>
      <c r="F586" s="175"/>
      <c r="G586" s="175"/>
      <c r="H586" s="175"/>
      <c r="I586" s="175"/>
      <c r="J586" s="175"/>
      <c r="K586" s="175"/>
      <c r="L586" s="175"/>
      <c r="M586" s="175"/>
      <c r="N586" s="175"/>
      <c r="O586" s="175"/>
      <c r="P586" s="175"/>
      <c r="Q586" s="175"/>
      <c r="R586" s="175"/>
      <c r="S586" s="175"/>
    </row>
    <row r="587" spans="1:19" ht="14.25" customHeight="1">
      <c r="A587" s="175"/>
      <c r="B587" s="175"/>
      <c r="C587" s="175"/>
      <c r="D587" s="175"/>
      <c r="E587" s="175"/>
      <c r="F587" s="175"/>
      <c r="G587" s="175"/>
      <c r="H587" s="175"/>
      <c r="I587" s="175"/>
      <c r="J587" s="175"/>
      <c r="K587" s="175"/>
      <c r="L587" s="175"/>
      <c r="M587" s="175"/>
      <c r="N587" s="175"/>
      <c r="O587" s="175"/>
      <c r="P587" s="175"/>
      <c r="Q587" s="175"/>
      <c r="R587" s="175"/>
      <c r="S587" s="175"/>
    </row>
    <row r="588" spans="1:19" ht="14.25" customHeight="1">
      <c r="A588" s="175"/>
      <c r="B588" s="175"/>
      <c r="C588" s="175"/>
      <c r="D588" s="175"/>
      <c r="E588" s="175"/>
      <c r="F588" s="175"/>
      <c r="G588" s="175"/>
      <c r="H588" s="175"/>
      <c r="I588" s="175"/>
      <c r="J588" s="175"/>
      <c r="K588" s="175"/>
      <c r="L588" s="175"/>
      <c r="M588" s="175"/>
      <c r="N588" s="175"/>
      <c r="O588" s="175"/>
      <c r="P588" s="175"/>
      <c r="Q588" s="175"/>
      <c r="R588" s="175"/>
      <c r="S588" s="175"/>
    </row>
    <row r="589" spans="1:19" ht="14.25" customHeight="1">
      <c r="A589" s="175"/>
      <c r="B589" s="175"/>
      <c r="C589" s="175"/>
      <c r="D589" s="175"/>
      <c r="E589" s="175"/>
      <c r="F589" s="175"/>
      <c r="G589" s="175"/>
      <c r="H589" s="175"/>
      <c r="I589" s="175"/>
      <c r="J589" s="175"/>
      <c r="K589" s="175"/>
      <c r="L589" s="175"/>
      <c r="M589" s="175"/>
      <c r="N589" s="175"/>
      <c r="O589" s="175"/>
      <c r="P589" s="175"/>
      <c r="Q589" s="175"/>
      <c r="R589" s="175"/>
      <c r="S589" s="175"/>
    </row>
    <row r="590" spans="1:19" ht="14.25" customHeight="1">
      <c r="A590" s="175"/>
      <c r="B590" s="175"/>
      <c r="C590" s="175"/>
      <c r="D590" s="175"/>
      <c r="E590" s="175"/>
      <c r="F590" s="175"/>
      <c r="G590" s="175"/>
      <c r="H590" s="175"/>
      <c r="I590" s="175"/>
      <c r="J590" s="175"/>
      <c r="K590" s="175"/>
      <c r="L590" s="175"/>
      <c r="M590" s="175"/>
      <c r="N590" s="175"/>
      <c r="O590" s="175"/>
      <c r="P590" s="175"/>
      <c r="Q590" s="175"/>
      <c r="R590" s="175"/>
      <c r="S590" s="175"/>
    </row>
    <row r="591" spans="1:19" ht="14.25" customHeight="1">
      <c r="A591" s="175"/>
      <c r="B591" s="175"/>
      <c r="C591" s="175"/>
      <c r="D591" s="175"/>
      <c r="E591" s="175"/>
      <c r="F591" s="175"/>
      <c r="G591" s="175"/>
      <c r="H591" s="175"/>
      <c r="I591" s="175"/>
      <c r="J591" s="175"/>
      <c r="K591" s="175"/>
      <c r="L591" s="175"/>
      <c r="M591" s="175"/>
      <c r="N591" s="175"/>
      <c r="O591" s="175"/>
      <c r="P591" s="175"/>
      <c r="Q591" s="175"/>
      <c r="R591" s="175"/>
      <c r="S591" s="175"/>
    </row>
    <row r="592" spans="1:19" ht="14.25" customHeight="1">
      <c r="A592" s="175"/>
      <c r="B592" s="175"/>
      <c r="C592" s="175"/>
      <c r="D592" s="175"/>
      <c r="E592" s="175"/>
      <c r="F592" s="175"/>
      <c r="G592" s="175"/>
      <c r="H592" s="175"/>
      <c r="I592" s="175"/>
      <c r="J592" s="175"/>
      <c r="K592" s="175"/>
      <c r="L592" s="175"/>
      <c r="M592" s="175"/>
      <c r="N592" s="175"/>
      <c r="O592" s="175"/>
      <c r="P592" s="175"/>
      <c r="Q592" s="175"/>
      <c r="R592" s="175"/>
      <c r="S592" s="175"/>
    </row>
    <row r="593" spans="1:19" ht="14.25" customHeight="1">
      <c r="A593" s="175"/>
      <c r="B593" s="175"/>
      <c r="C593" s="175"/>
      <c r="D593" s="175"/>
      <c r="E593" s="175"/>
      <c r="F593" s="175"/>
      <c r="G593" s="175"/>
      <c r="H593" s="175"/>
      <c r="I593" s="175"/>
      <c r="J593" s="175"/>
      <c r="K593" s="175"/>
      <c r="L593" s="175"/>
      <c r="M593" s="175"/>
      <c r="N593" s="175"/>
      <c r="O593" s="175"/>
      <c r="P593" s="175"/>
      <c r="Q593" s="175"/>
      <c r="R593" s="175"/>
      <c r="S593" s="175"/>
    </row>
    <row r="594" spans="1:19" ht="14.25" customHeight="1">
      <c r="A594" s="175"/>
      <c r="B594" s="175"/>
      <c r="C594" s="175"/>
      <c r="D594" s="175"/>
      <c r="E594" s="175"/>
      <c r="F594" s="175"/>
      <c r="G594" s="175"/>
      <c r="H594" s="175"/>
      <c r="I594" s="175"/>
      <c r="J594" s="175"/>
      <c r="K594" s="175"/>
      <c r="L594" s="175"/>
      <c r="M594" s="175"/>
      <c r="N594" s="175"/>
      <c r="O594" s="175"/>
      <c r="P594" s="175"/>
      <c r="Q594" s="175"/>
      <c r="R594" s="175"/>
      <c r="S594" s="175"/>
    </row>
    <row r="595" spans="1:19" ht="14.25" customHeight="1">
      <c r="A595" s="175"/>
      <c r="B595" s="175"/>
      <c r="C595" s="175"/>
      <c r="D595" s="175"/>
      <c r="E595" s="175"/>
      <c r="F595" s="175"/>
      <c r="G595" s="175"/>
      <c r="H595" s="175"/>
      <c r="I595" s="175"/>
      <c r="J595" s="175"/>
      <c r="K595" s="175"/>
      <c r="L595" s="175"/>
      <c r="M595" s="175"/>
      <c r="N595" s="175"/>
      <c r="O595" s="175"/>
      <c r="P595" s="175"/>
      <c r="Q595" s="175"/>
      <c r="R595" s="175"/>
      <c r="S595" s="175"/>
    </row>
    <row r="596" spans="1:19" ht="14.25" customHeight="1">
      <c r="A596" s="175"/>
      <c r="B596" s="175"/>
      <c r="C596" s="175"/>
      <c r="D596" s="175"/>
      <c r="E596" s="175"/>
      <c r="F596" s="175"/>
      <c r="G596" s="175"/>
      <c r="H596" s="175"/>
      <c r="I596" s="175"/>
      <c r="J596" s="175"/>
      <c r="K596" s="175"/>
      <c r="L596" s="175"/>
      <c r="M596" s="175"/>
      <c r="N596" s="175"/>
      <c r="O596" s="175"/>
      <c r="P596" s="175"/>
      <c r="Q596" s="175"/>
      <c r="R596" s="175"/>
      <c r="S596" s="175"/>
    </row>
    <row r="597" spans="1:19" ht="14.25" customHeight="1">
      <c r="A597" s="175"/>
      <c r="B597" s="175"/>
      <c r="C597" s="175"/>
      <c r="D597" s="175"/>
      <c r="E597" s="175"/>
      <c r="F597" s="175"/>
      <c r="G597" s="175"/>
      <c r="H597" s="175"/>
      <c r="I597" s="175"/>
      <c r="J597" s="175"/>
      <c r="K597" s="175"/>
      <c r="L597" s="175"/>
      <c r="M597" s="175"/>
      <c r="N597" s="175"/>
      <c r="O597" s="175"/>
      <c r="P597" s="175"/>
      <c r="Q597" s="175"/>
      <c r="R597" s="175"/>
      <c r="S597" s="175"/>
    </row>
    <row r="598" spans="1:19" ht="14.25" customHeight="1">
      <c r="A598" s="175"/>
      <c r="B598" s="175"/>
      <c r="C598" s="175"/>
      <c r="D598" s="175"/>
      <c r="E598" s="175"/>
      <c r="F598" s="175"/>
      <c r="G598" s="175"/>
      <c r="H598" s="175"/>
      <c r="I598" s="175"/>
      <c r="J598" s="175"/>
      <c r="K598" s="175"/>
      <c r="L598" s="175"/>
      <c r="M598" s="175"/>
      <c r="N598" s="175"/>
      <c r="O598" s="175"/>
      <c r="P598" s="175"/>
      <c r="Q598" s="175"/>
      <c r="R598" s="175"/>
      <c r="S598" s="175"/>
    </row>
    <row r="599" spans="1:19" ht="14.25" customHeight="1">
      <c r="A599" s="175"/>
      <c r="B599" s="175"/>
      <c r="C599" s="175"/>
      <c r="D599" s="175"/>
      <c r="E599" s="175"/>
      <c r="F599" s="175"/>
      <c r="G599" s="175"/>
      <c r="H599" s="175"/>
      <c r="I599" s="175"/>
      <c r="J599" s="175"/>
      <c r="K599" s="175"/>
      <c r="L599" s="175"/>
      <c r="M599" s="175"/>
      <c r="N599" s="175"/>
      <c r="O599" s="175"/>
      <c r="P599" s="175"/>
      <c r="Q599" s="175"/>
      <c r="R599" s="175"/>
      <c r="S599" s="175"/>
    </row>
    <row r="600" spans="1:19" ht="14.25" customHeight="1">
      <c r="A600" s="175"/>
      <c r="B600" s="175"/>
      <c r="C600" s="175"/>
      <c r="D600" s="175"/>
      <c r="E600" s="175"/>
      <c r="F600" s="175"/>
      <c r="G600" s="175"/>
      <c r="H600" s="175"/>
      <c r="I600" s="175"/>
      <c r="J600" s="175"/>
      <c r="K600" s="175"/>
      <c r="L600" s="175"/>
      <c r="M600" s="175"/>
      <c r="N600" s="175"/>
      <c r="O600" s="175"/>
      <c r="P600" s="175"/>
      <c r="Q600" s="175"/>
      <c r="R600" s="175"/>
      <c r="S600" s="175"/>
    </row>
    <row r="601" spans="1:19" ht="14.25" customHeight="1">
      <c r="A601" s="175"/>
      <c r="B601" s="175"/>
      <c r="C601" s="175"/>
      <c r="D601" s="175"/>
      <c r="E601" s="175"/>
      <c r="F601" s="175"/>
      <c r="G601" s="175"/>
      <c r="H601" s="175"/>
      <c r="I601" s="175"/>
      <c r="J601" s="175"/>
      <c r="K601" s="175"/>
      <c r="L601" s="175"/>
      <c r="M601" s="175"/>
      <c r="N601" s="175"/>
      <c r="O601" s="175"/>
      <c r="P601" s="175"/>
      <c r="Q601" s="175"/>
      <c r="R601" s="175"/>
      <c r="S601" s="175"/>
    </row>
    <row r="602" spans="1:19" ht="14.25" customHeight="1">
      <c r="A602" s="175"/>
      <c r="B602" s="175"/>
      <c r="C602" s="175"/>
      <c r="D602" s="175"/>
      <c r="E602" s="175"/>
      <c r="F602" s="175"/>
      <c r="G602" s="175"/>
      <c r="H602" s="175"/>
      <c r="I602" s="175"/>
      <c r="J602" s="175"/>
      <c r="K602" s="175"/>
      <c r="L602" s="175"/>
      <c r="M602" s="175"/>
      <c r="N602" s="175"/>
      <c r="O602" s="175"/>
      <c r="P602" s="175"/>
      <c r="Q602" s="175"/>
      <c r="R602" s="175"/>
      <c r="S602" s="175"/>
    </row>
    <row r="603" spans="1:19" ht="14.25" customHeight="1">
      <c r="A603" s="175"/>
      <c r="B603" s="175"/>
      <c r="C603" s="175"/>
      <c r="D603" s="175"/>
      <c r="E603" s="175"/>
      <c r="F603" s="175"/>
      <c r="G603" s="175"/>
      <c r="H603" s="175"/>
      <c r="I603" s="175"/>
      <c r="J603" s="175"/>
      <c r="K603" s="175"/>
      <c r="L603" s="175"/>
      <c r="M603" s="175"/>
      <c r="N603" s="175"/>
      <c r="O603" s="175"/>
      <c r="P603" s="175"/>
      <c r="Q603" s="175"/>
      <c r="R603" s="175"/>
      <c r="S603" s="175"/>
    </row>
    <row r="604" spans="1:19" ht="14.25" customHeight="1">
      <c r="A604" s="175"/>
      <c r="B604" s="175"/>
      <c r="C604" s="175"/>
      <c r="D604" s="175"/>
      <c r="E604" s="175"/>
      <c r="F604" s="175"/>
      <c r="G604" s="175"/>
      <c r="H604" s="175"/>
      <c r="I604" s="175"/>
      <c r="J604" s="175"/>
      <c r="K604" s="175"/>
      <c r="L604" s="175"/>
      <c r="M604" s="175"/>
      <c r="N604" s="175"/>
      <c r="O604" s="175"/>
      <c r="P604" s="175"/>
      <c r="Q604" s="175"/>
      <c r="R604" s="175"/>
      <c r="S604" s="175"/>
    </row>
    <row r="605" spans="1:19" ht="14.25" customHeight="1">
      <c r="A605" s="175"/>
      <c r="B605" s="175"/>
      <c r="C605" s="175"/>
      <c r="D605" s="175"/>
      <c r="E605" s="175"/>
      <c r="F605" s="175"/>
      <c r="G605" s="175"/>
      <c r="H605" s="175"/>
      <c r="I605" s="175"/>
      <c r="J605" s="175"/>
      <c r="K605" s="175"/>
      <c r="L605" s="175"/>
      <c r="M605" s="175"/>
      <c r="N605" s="175"/>
      <c r="O605" s="175"/>
      <c r="P605" s="175"/>
      <c r="Q605" s="175"/>
      <c r="R605" s="175"/>
      <c r="S605" s="175"/>
    </row>
    <row r="606" spans="1:19" ht="14.25" customHeight="1">
      <c r="A606" s="175"/>
      <c r="B606" s="175"/>
      <c r="C606" s="175"/>
      <c r="D606" s="175"/>
      <c r="E606" s="175"/>
      <c r="F606" s="175"/>
      <c r="G606" s="175"/>
      <c r="H606" s="175"/>
      <c r="I606" s="175"/>
      <c r="J606" s="175"/>
      <c r="K606" s="175"/>
      <c r="L606" s="175"/>
      <c r="M606" s="175"/>
      <c r="N606" s="175"/>
      <c r="O606" s="175"/>
      <c r="P606" s="175"/>
      <c r="Q606" s="175"/>
      <c r="R606" s="175"/>
      <c r="S606" s="175"/>
    </row>
    <row r="607" spans="1:19" ht="14.25" customHeight="1">
      <c r="A607" s="175"/>
      <c r="B607" s="175"/>
      <c r="C607" s="175"/>
      <c r="D607" s="175"/>
      <c r="E607" s="175"/>
      <c r="F607" s="175"/>
      <c r="G607" s="175"/>
      <c r="H607" s="175"/>
      <c r="I607" s="175"/>
      <c r="J607" s="175"/>
      <c r="K607" s="175"/>
      <c r="L607" s="175"/>
      <c r="M607" s="175"/>
      <c r="N607" s="175"/>
      <c r="O607" s="175"/>
      <c r="P607" s="175"/>
      <c r="Q607" s="175"/>
      <c r="R607" s="175"/>
      <c r="S607" s="175"/>
    </row>
    <row r="608" spans="1:19" ht="14.25" customHeight="1">
      <c r="A608" s="175"/>
      <c r="B608" s="175"/>
      <c r="C608" s="175"/>
      <c r="D608" s="175"/>
      <c r="E608" s="175"/>
      <c r="F608" s="175"/>
      <c r="G608" s="175"/>
      <c r="H608" s="175"/>
      <c r="I608" s="175"/>
      <c r="J608" s="175"/>
      <c r="K608" s="175"/>
      <c r="L608" s="175"/>
      <c r="M608" s="175"/>
      <c r="N608" s="175"/>
      <c r="O608" s="175"/>
      <c r="P608" s="175"/>
      <c r="Q608" s="175"/>
      <c r="R608" s="175"/>
      <c r="S608" s="175"/>
    </row>
    <row r="609" spans="1:19" ht="14.25" customHeight="1">
      <c r="A609" s="175"/>
      <c r="B609" s="175"/>
      <c r="C609" s="175"/>
      <c r="D609" s="175"/>
      <c r="E609" s="175"/>
      <c r="F609" s="175"/>
      <c r="G609" s="175"/>
      <c r="H609" s="175"/>
      <c r="I609" s="175"/>
      <c r="J609" s="175"/>
      <c r="K609" s="175"/>
      <c r="L609" s="175"/>
      <c r="M609" s="175"/>
      <c r="N609" s="175"/>
      <c r="O609" s="175"/>
      <c r="P609" s="175"/>
      <c r="Q609" s="175"/>
      <c r="R609" s="175"/>
      <c r="S609" s="175"/>
    </row>
    <row r="610" spans="1:19" ht="14.25" customHeight="1">
      <c r="A610" s="175"/>
      <c r="B610" s="175"/>
      <c r="C610" s="175"/>
      <c r="D610" s="175"/>
      <c r="E610" s="175"/>
      <c r="F610" s="175"/>
      <c r="G610" s="175"/>
      <c r="H610" s="175"/>
      <c r="I610" s="175"/>
      <c r="J610" s="175"/>
      <c r="K610" s="175"/>
      <c r="L610" s="175"/>
      <c r="M610" s="175"/>
      <c r="N610" s="175"/>
      <c r="O610" s="175"/>
      <c r="P610" s="175"/>
      <c r="Q610" s="175"/>
      <c r="R610" s="175"/>
      <c r="S610" s="175"/>
    </row>
    <row r="611" spans="1:19" ht="14.25" customHeight="1">
      <c r="A611" s="175"/>
      <c r="B611" s="175"/>
      <c r="C611" s="175"/>
      <c r="D611" s="175"/>
      <c r="E611" s="175"/>
      <c r="F611" s="175"/>
      <c r="G611" s="175"/>
      <c r="H611" s="175"/>
      <c r="I611" s="175"/>
      <c r="J611" s="175"/>
      <c r="K611" s="175"/>
      <c r="L611" s="175"/>
      <c r="M611" s="175"/>
      <c r="N611" s="175"/>
      <c r="O611" s="175"/>
      <c r="P611" s="175"/>
      <c r="Q611" s="175"/>
      <c r="R611" s="175"/>
      <c r="S611" s="175"/>
    </row>
    <row r="612" spans="1:19" ht="14.25" customHeight="1">
      <c r="A612" s="175"/>
      <c r="B612" s="175"/>
      <c r="C612" s="175"/>
      <c r="D612" s="175"/>
      <c r="E612" s="175"/>
      <c r="F612" s="175"/>
      <c r="G612" s="175"/>
      <c r="H612" s="175"/>
      <c r="I612" s="175"/>
      <c r="J612" s="175"/>
      <c r="K612" s="175"/>
      <c r="L612" s="175"/>
      <c r="M612" s="175"/>
      <c r="N612" s="175"/>
      <c r="O612" s="175"/>
      <c r="P612" s="175"/>
      <c r="Q612" s="175"/>
      <c r="R612" s="175"/>
      <c r="S612" s="175"/>
    </row>
    <row r="613" spans="1:19" ht="14.25" customHeight="1">
      <c r="A613" s="175"/>
      <c r="B613" s="175"/>
      <c r="C613" s="175"/>
      <c r="D613" s="175"/>
      <c r="E613" s="175"/>
      <c r="F613" s="175"/>
      <c r="G613" s="175"/>
      <c r="H613" s="175"/>
      <c r="I613" s="175"/>
      <c r="J613" s="175"/>
      <c r="K613" s="175"/>
      <c r="L613" s="175"/>
      <c r="M613" s="175"/>
      <c r="N613" s="175"/>
      <c r="O613" s="175"/>
      <c r="P613" s="175"/>
      <c r="Q613" s="175"/>
      <c r="R613" s="175"/>
      <c r="S613" s="175"/>
    </row>
    <row r="614" spans="1:19" ht="14.25" customHeight="1">
      <c r="A614" s="175"/>
      <c r="B614" s="175"/>
      <c r="C614" s="175"/>
      <c r="D614" s="175"/>
      <c r="E614" s="175"/>
      <c r="F614" s="175"/>
      <c r="G614" s="175"/>
      <c r="H614" s="175"/>
      <c r="I614" s="175"/>
      <c r="J614" s="175"/>
      <c r="K614" s="175"/>
      <c r="L614" s="175"/>
      <c r="M614" s="175"/>
      <c r="N614" s="175"/>
      <c r="O614" s="175"/>
      <c r="P614" s="175"/>
      <c r="Q614" s="175"/>
      <c r="R614" s="175"/>
      <c r="S614" s="175"/>
    </row>
    <row r="615" spans="1:19" ht="14.25" customHeight="1">
      <c r="A615" s="175"/>
      <c r="B615" s="175"/>
      <c r="C615" s="175"/>
      <c r="D615" s="175"/>
      <c r="E615" s="175"/>
      <c r="F615" s="175"/>
      <c r="G615" s="175"/>
      <c r="H615" s="175"/>
      <c r="I615" s="175"/>
      <c r="J615" s="175"/>
      <c r="K615" s="175"/>
      <c r="L615" s="175"/>
      <c r="M615" s="175"/>
      <c r="N615" s="175"/>
      <c r="O615" s="175"/>
      <c r="P615" s="175"/>
      <c r="Q615" s="175"/>
      <c r="R615" s="175"/>
      <c r="S615" s="175"/>
    </row>
    <row r="616" spans="1:19" ht="14.25" customHeight="1">
      <c r="A616" s="175"/>
      <c r="B616" s="175"/>
      <c r="C616" s="175"/>
      <c r="D616" s="175"/>
      <c r="E616" s="175"/>
      <c r="F616" s="175"/>
      <c r="G616" s="175"/>
      <c r="H616" s="175"/>
      <c r="I616" s="175"/>
      <c r="J616" s="175"/>
      <c r="K616" s="175"/>
      <c r="L616" s="175"/>
      <c r="M616" s="175"/>
      <c r="N616" s="175"/>
      <c r="O616" s="175"/>
      <c r="P616" s="175"/>
      <c r="Q616" s="175"/>
      <c r="R616" s="175"/>
      <c r="S616" s="175"/>
    </row>
    <row r="617" spans="1:19" ht="14.25" customHeight="1">
      <c r="A617" s="175"/>
      <c r="B617" s="175"/>
      <c r="C617" s="175"/>
      <c r="D617" s="175"/>
      <c r="E617" s="175"/>
      <c r="F617" s="175"/>
      <c r="G617" s="175"/>
      <c r="H617" s="175"/>
      <c r="I617" s="175"/>
      <c r="J617" s="175"/>
      <c r="K617" s="175"/>
      <c r="L617" s="175"/>
      <c r="M617" s="175"/>
      <c r="N617" s="175"/>
      <c r="O617" s="175"/>
      <c r="P617" s="175"/>
      <c r="Q617" s="175"/>
      <c r="R617" s="175"/>
      <c r="S617" s="175"/>
    </row>
    <row r="618" spans="1:19" ht="14.25" customHeight="1">
      <c r="A618" s="175"/>
      <c r="B618" s="175"/>
      <c r="C618" s="175"/>
      <c r="D618" s="175"/>
      <c r="E618" s="175"/>
      <c r="F618" s="175"/>
      <c r="G618" s="175"/>
      <c r="H618" s="175"/>
      <c r="I618" s="175"/>
      <c r="J618" s="175"/>
      <c r="K618" s="175"/>
      <c r="L618" s="175"/>
      <c r="M618" s="175"/>
      <c r="N618" s="175"/>
      <c r="O618" s="175"/>
      <c r="P618" s="175"/>
      <c r="Q618" s="175"/>
      <c r="R618" s="175"/>
      <c r="S618" s="175"/>
    </row>
    <row r="619" spans="1:19" ht="14.25" customHeight="1">
      <c r="A619" s="175"/>
      <c r="B619" s="175"/>
      <c r="C619" s="175"/>
      <c r="D619" s="175"/>
      <c r="E619" s="175"/>
      <c r="F619" s="175"/>
      <c r="G619" s="175"/>
      <c r="H619" s="175"/>
      <c r="I619" s="175"/>
      <c r="J619" s="175"/>
      <c r="K619" s="175"/>
      <c r="L619" s="175"/>
      <c r="M619" s="175"/>
      <c r="N619" s="175"/>
      <c r="O619" s="175"/>
      <c r="P619" s="175"/>
      <c r="Q619" s="175"/>
      <c r="R619" s="175"/>
      <c r="S619" s="175"/>
    </row>
    <row r="620" spans="1:19" ht="14.25" customHeight="1">
      <c r="A620" s="175"/>
      <c r="B620" s="175"/>
      <c r="C620" s="175"/>
      <c r="D620" s="175"/>
      <c r="E620" s="175"/>
      <c r="F620" s="175"/>
      <c r="G620" s="175"/>
      <c r="H620" s="175"/>
      <c r="I620" s="175"/>
      <c r="J620" s="175"/>
      <c r="K620" s="175"/>
      <c r="L620" s="175"/>
      <c r="M620" s="175"/>
      <c r="N620" s="175"/>
      <c r="O620" s="175"/>
      <c r="P620" s="175"/>
      <c r="Q620" s="175"/>
      <c r="R620" s="175"/>
      <c r="S620" s="175"/>
    </row>
    <row r="621" spans="1:19" ht="14.25" customHeight="1">
      <c r="A621" s="175"/>
      <c r="B621" s="175"/>
      <c r="C621" s="175"/>
      <c r="D621" s="175"/>
      <c r="E621" s="175"/>
      <c r="F621" s="175"/>
      <c r="G621" s="175"/>
      <c r="H621" s="175"/>
      <c r="I621" s="175"/>
      <c r="J621" s="175"/>
      <c r="K621" s="175"/>
      <c r="L621" s="175"/>
      <c r="M621" s="175"/>
      <c r="N621" s="175"/>
      <c r="O621" s="175"/>
      <c r="P621" s="175"/>
      <c r="Q621" s="175"/>
      <c r="R621" s="175"/>
      <c r="S621" s="175"/>
    </row>
    <row r="622" spans="1:19" ht="14.25" customHeight="1">
      <c r="A622" s="175"/>
      <c r="B622" s="175"/>
      <c r="C622" s="175"/>
      <c r="D622" s="175"/>
      <c r="E622" s="175"/>
      <c r="F622" s="175"/>
      <c r="G622" s="175"/>
      <c r="H622" s="175"/>
      <c r="I622" s="175"/>
      <c r="J622" s="175"/>
      <c r="K622" s="175"/>
      <c r="L622" s="175"/>
      <c r="M622" s="175"/>
      <c r="N622" s="175"/>
      <c r="O622" s="175"/>
      <c r="P622" s="175"/>
      <c r="Q622" s="175"/>
      <c r="R622" s="175"/>
      <c r="S622" s="175"/>
    </row>
    <row r="623" spans="1:19" ht="14.25" customHeight="1">
      <c r="A623" s="175"/>
      <c r="B623" s="175"/>
      <c r="C623" s="175"/>
      <c r="D623" s="175"/>
      <c r="E623" s="175"/>
      <c r="F623" s="175"/>
      <c r="G623" s="175"/>
      <c r="H623" s="175"/>
      <c r="I623" s="175"/>
      <c r="J623" s="175"/>
      <c r="K623" s="175"/>
      <c r="L623" s="175"/>
      <c r="M623" s="175"/>
      <c r="N623" s="175"/>
      <c r="O623" s="175"/>
      <c r="P623" s="175"/>
      <c r="Q623" s="175"/>
      <c r="R623" s="175"/>
      <c r="S623" s="175"/>
    </row>
    <row r="624" spans="1:19" ht="14.25" customHeight="1">
      <c r="A624" s="175"/>
      <c r="B624" s="175"/>
      <c r="C624" s="175"/>
      <c r="D624" s="175"/>
      <c r="E624" s="175"/>
      <c r="F624" s="175"/>
      <c r="G624" s="175"/>
      <c r="H624" s="175"/>
      <c r="I624" s="175"/>
      <c r="J624" s="175"/>
      <c r="K624" s="175"/>
      <c r="L624" s="175"/>
      <c r="M624" s="175"/>
      <c r="N624" s="175"/>
      <c r="O624" s="175"/>
      <c r="P624" s="175"/>
      <c r="Q624" s="175"/>
      <c r="R624" s="175"/>
      <c r="S624" s="175"/>
    </row>
    <row r="625" spans="1:19" ht="14.25" customHeight="1">
      <c r="A625" s="175"/>
      <c r="B625" s="175"/>
      <c r="C625" s="175"/>
      <c r="D625" s="175"/>
      <c r="E625" s="175"/>
      <c r="F625" s="175"/>
      <c r="G625" s="175"/>
      <c r="H625" s="175"/>
      <c r="I625" s="175"/>
      <c r="J625" s="175"/>
      <c r="K625" s="175"/>
      <c r="L625" s="175"/>
      <c r="M625" s="175"/>
      <c r="N625" s="175"/>
      <c r="O625" s="175"/>
      <c r="P625" s="175"/>
      <c r="Q625" s="175"/>
      <c r="R625" s="175"/>
      <c r="S625" s="175"/>
    </row>
    <row r="626" spans="1:19" ht="14.25" customHeight="1">
      <c r="A626" s="175"/>
      <c r="B626" s="175"/>
      <c r="C626" s="175"/>
      <c r="D626" s="175"/>
      <c r="E626" s="175"/>
      <c r="F626" s="175"/>
      <c r="G626" s="175"/>
      <c r="H626" s="175"/>
      <c r="I626" s="175"/>
      <c r="J626" s="175"/>
      <c r="K626" s="175"/>
      <c r="L626" s="175"/>
      <c r="M626" s="175"/>
      <c r="N626" s="175"/>
      <c r="O626" s="175"/>
      <c r="P626" s="175"/>
      <c r="Q626" s="175"/>
      <c r="R626" s="175"/>
      <c r="S626" s="175"/>
    </row>
    <row r="627" spans="1:19" ht="14.25" customHeight="1">
      <c r="A627" s="175"/>
      <c r="B627" s="175"/>
      <c r="C627" s="175"/>
      <c r="D627" s="175"/>
      <c r="E627" s="175"/>
      <c r="F627" s="175"/>
      <c r="G627" s="175"/>
      <c r="H627" s="175"/>
      <c r="I627" s="175"/>
      <c r="J627" s="175"/>
      <c r="K627" s="175"/>
      <c r="L627" s="175"/>
      <c r="M627" s="175"/>
      <c r="N627" s="175"/>
      <c r="O627" s="175"/>
      <c r="P627" s="175"/>
      <c r="Q627" s="175"/>
      <c r="R627" s="175"/>
      <c r="S627" s="175"/>
    </row>
    <row r="628" spans="1:19" ht="14.25" customHeight="1">
      <c r="A628" s="175"/>
      <c r="B628" s="175"/>
      <c r="C628" s="175"/>
      <c r="D628" s="175"/>
      <c r="E628" s="175"/>
      <c r="F628" s="175"/>
      <c r="G628" s="175"/>
      <c r="H628" s="175"/>
      <c r="I628" s="175"/>
      <c r="J628" s="175"/>
      <c r="K628" s="175"/>
      <c r="L628" s="175"/>
      <c r="M628" s="175"/>
      <c r="N628" s="175"/>
      <c r="O628" s="175"/>
      <c r="P628" s="175"/>
      <c r="Q628" s="175"/>
      <c r="R628" s="175"/>
      <c r="S628" s="175"/>
    </row>
    <row r="629" spans="1:19" ht="14.25" customHeight="1">
      <c r="A629" s="175"/>
      <c r="B629" s="175"/>
      <c r="C629" s="175"/>
      <c r="D629" s="175"/>
      <c r="E629" s="175"/>
      <c r="F629" s="175"/>
      <c r="G629" s="175"/>
      <c r="H629" s="175"/>
      <c r="I629" s="175"/>
      <c r="J629" s="175"/>
      <c r="K629" s="175"/>
      <c r="L629" s="175"/>
      <c r="M629" s="175"/>
      <c r="N629" s="175"/>
      <c r="O629" s="175"/>
      <c r="P629" s="175"/>
      <c r="Q629" s="175"/>
      <c r="R629" s="175"/>
      <c r="S629" s="175"/>
    </row>
    <row r="630" spans="1:19" ht="14.25" customHeight="1">
      <c r="A630" s="175"/>
      <c r="B630" s="175"/>
      <c r="C630" s="175"/>
      <c r="D630" s="175"/>
      <c r="E630" s="175"/>
      <c r="F630" s="175"/>
      <c r="G630" s="175"/>
      <c r="H630" s="175"/>
      <c r="I630" s="175"/>
      <c r="J630" s="175"/>
      <c r="K630" s="175"/>
      <c r="L630" s="175"/>
      <c r="M630" s="175"/>
      <c r="N630" s="175"/>
      <c r="O630" s="175"/>
      <c r="P630" s="175"/>
      <c r="Q630" s="175"/>
      <c r="R630" s="175"/>
      <c r="S630" s="175"/>
    </row>
    <row r="631" spans="1:19" ht="14.25" customHeight="1">
      <c r="A631" s="175"/>
      <c r="B631" s="175"/>
      <c r="C631" s="175"/>
      <c r="D631" s="175"/>
      <c r="E631" s="175"/>
      <c r="F631" s="175"/>
      <c r="G631" s="175"/>
      <c r="H631" s="175"/>
      <c r="I631" s="175"/>
      <c r="J631" s="175"/>
      <c r="K631" s="175"/>
      <c r="L631" s="175"/>
      <c r="M631" s="175"/>
      <c r="N631" s="175"/>
      <c r="O631" s="175"/>
      <c r="P631" s="175"/>
      <c r="Q631" s="175"/>
      <c r="R631" s="175"/>
      <c r="S631" s="175"/>
    </row>
    <row r="632" spans="1:19" ht="14.25" customHeight="1">
      <c r="A632" s="175"/>
      <c r="B632" s="175"/>
      <c r="C632" s="175"/>
      <c r="D632" s="175"/>
      <c r="E632" s="175"/>
      <c r="F632" s="175"/>
      <c r="G632" s="175"/>
      <c r="H632" s="175"/>
      <c r="I632" s="175"/>
      <c r="J632" s="175"/>
      <c r="K632" s="175"/>
      <c r="L632" s="175"/>
      <c r="M632" s="175"/>
      <c r="N632" s="175"/>
      <c r="O632" s="175"/>
      <c r="P632" s="175"/>
      <c r="Q632" s="175"/>
      <c r="R632" s="175"/>
      <c r="S632" s="175"/>
    </row>
    <row r="633" spans="1:19" ht="14.25" customHeight="1">
      <c r="A633" s="175"/>
      <c r="B633" s="175"/>
      <c r="C633" s="175"/>
      <c r="D633" s="175"/>
      <c r="E633" s="175"/>
      <c r="F633" s="175"/>
      <c r="G633" s="175"/>
      <c r="H633" s="175"/>
      <c r="I633" s="175"/>
      <c r="J633" s="175"/>
      <c r="K633" s="175"/>
      <c r="L633" s="175"/>
      <c r="M633" s="175"/>
      <c r="N633" s="175"/>
      <c r="O633" s="175"/>
      <c r="P633" s="175"/>
      <c r="Q633" s="175"/>
      <c r="R633" s="175"/>
      <c r="S633" s="175"/>
    </row>
    <row r="634" spans="1:19" ht="14.25" customHeight="1">
      <c r="A634" s="175"/>
      <c r="B634" s="175"/>
      <c r="C634" s="175"/>
      <c r="D634" s="175"/>
      <c r="E634" s="175"/>
      <c r="F634" s="175"/>
      <c r="G634" s="175"/>
      <c r="H634" s="175"/>
      <c r="I634" s="175"/>
      <c r="J634" s="175"/>
      <c r="K634" s="175"/>
      <c r="L634" s="175"/>
      <c r="M634" s="175"/>
      <c r="N634" s="175"/>
      <c r="O634" s="175"/>
      <c r="P634" s="175"/>
      <c r="Q634" s="175"/>
      <c r="R634" s="175"/>
      <c r="S634" s="175"/>
    </row>
    <row r="635" spans="1:19" ht="14.25" customHeight="1">
      <c r="A635" s="175"/>
      <c r="B635" s="175"/>
      <c r="C635" s="175"/>
      <c r="D635" s="175"/>
      <c r="E635" s="175"/>
      <c r="F635" s="175"/>
      <c r="G635" s="175"/>
      <c r="H635" s="175"/>
      <c r="I635" s="175"/>
      <c r="J635" s="175"/>
      <c r="K635" s="175"/>
      <c r="L635" s="175"/>
      <c r="M635" s="175"/>
      <c r="N635" s="175"/>
      <c r="O635" s="175"/>
      <c r="P635" s="175"/>
      <c r="Q635" s="175"/>
      <c r="R635" s="175"/>
      <c r="S635" s="175"/>
    </row>
    <row r="636" spans="1:19" ht="14.25" customHeight="1">
      <c r="A636" s="175"/>
      <c r="B636" s="175"/>
      <c r="C636" s="175"/>
      <c r="D636" s="175"/>
      <c r="E636" s="175"/>
      <c r="F636" s="175"/>
      <c r="G636" s="175"/>
      <c r="H636" s="175"/>
      <c r="I636" s="175"/>
      <c r="J636" s="175"/>
      <c r="K636" s="175"/>
      <c r="L636" s="175"/>
      <c r="M636" s="175"/>
      <c r="N636" s="175"/>
      <c r="O636" s="175"/>
      <c r="P636" s="175"/>
      <c r="Q636" s="175"/>
      <c r="R636" s="175"/>
      <c r="S636" s="175"/>
    </row>
    <row r="637" spans="1:19" ht="14.25" customHeight="1">
      <c r="A637" s="175"/>
      <c r="B637" s="175"/>
      <c r="C637" s="175"/>
      <c r="D637" s="175"/>
      <c r="E637" s="175"/>
      <c r="F637" s="175"/>
      <c r="G637" s="175"/>
      <c r="H637" s="175"/>
      <c r="I637" s="175"/>
      <c r="J637" s="175"/>
      <c r="K637" s="175"/>
      <c r="L637" s="175"/>
      <c r="M637" s="175"/>
      <c r="N637" s="175"/>
      <c r="O637" s="175"/>
      <c r="P637" s="175"/>
      <c r="Q637" s="175"/>
      <c r="R637" s="175"/>
      <c r="S637" s="175"/>
    </row>
    <row r="638" spans="1:19" ht="14.25" customHeight="1">
      <c r="A638" s="175"/>
      <c r="B638" s="175"/>
      <c r="C638" s="175"/>
      <c r="D638" s="175"/>
      <c r="E638" s="175"/>
      <c r="F638" s="175"/>
      <c r="G638" s="175"/>
      <c r="H638" s="175"/>
      <c r="I638" s="175"/>
      <c r="J638" s="175"/>
      <c r="K638" s="175"/>
      <c r="L638" s="175"/>
      <c r="M638" s="175"/>
      <c r="N638" s="175"/>
      <c r="O638" s="175"/>
      <c r="P638" s="175"/>
      <c r="Q638" s="175"/>
      <c r="R638" s="175"/>
      <c r="S638" s="175"/>
    </row>
    <row r="639" spans="1:19" ht="14.25" customHeight="1">
      <c r="A639" s="175"/>
      <c r="B639" s="175"/>
      <c r="C639" s="175"/>
      <c r="D639" s="175"/>
      <c r="E639" s="175"/>
      <c r="F639" s="175"/>
      <c r="G639" s="175"/>
      <c r="H639" s="175"/>
      <c r="I639" s="175"/>
      <c r="J639" s="175"/>
      <c r="K639" s="175"/>
      <c r="L639" s="175"/>
      <c r="M639" s="175"/>
      <c r="N639" s="175"/>
      <c r="O639" s="175"/>
      <c r="P639" s="175"/>
      <c r="Q639" s="175"/>
      <c r="R639" s="175"/>
      <c r="S639" s="175"/>
    </row>
    <row r="640" spans="1:19" ht="14.25" customHeight="1">
      <c r="A640" s="175"/>
      <c r="B640" s="175"/>
      <c r="C640" s="175"/>
      <c r="D640" s="175"/>
      <c r="E640" s="175"/>
      <c r="F640" s="175"/>
      <c r="G640" s="175"/>
      <c r="H640" s="175"/>
      <c r="I640" s="175"/>
      <c r="J640" s="175"/>
      <c r="K640" s="175"/>
      <c r="L640" s="175"/>
      <c r="M640" s="175"/>
      <c r="N640" s="175"/>
      <c r="O640" s="175"/>
      <c r="P640" s="175"/>
      <c r="Q640" s="175"/>
      <c r="R640" s="175"/>
      <c r="S640" s="175"/>
    </row>
    <row r="641" spans="1:19" ht="14.25" customHeight="1">
      <c r="A641" s="175"/>
      <c r="B641" s="175"/>
      <c r="C641" s="175"/>
      <c r="D641" s="175"/>
      <c r="E641" s="175"/>
      <c r="F641" s="175"/>
      <c r="G641" s="175"/>
      <c r="H641" s="175"/>
      <c r="I641" s="175"/>
      <c r="J641" s="175"/>
      <c r="K641" s="175"/>
      <c r="L641" s="175"/>
      <c r="M641" s="175"/>
      <c r="N641" s="175"/>
      <c r="O641" s="175"/>
      <c r="P641" s="175"/>
      <c r="Q641" s="175"/>
      <c r="R641" s="175"/>
      <c r="S641" s="175"/>
    </row>
    <row r="642" spans="1:19" ht="14.25" customHeight="1">
      <c r="A642" s="175"/>
      <c r="B642" s="175"/>
      <c r="C642" s="175"/>
      <c r="D642" s="175"/>
      <c r="E642" s="175"/>
      <c r="F642" s="175"/>
      <c r="G642" s="175"/>
      <c r="H642" s="175"/>
      <c r="I642" s="175"/>
      <c r="J642" s="175"/>
      <c r="K642" s="175"/>
      <c r="L642" s="175"/>
      <c r="M642" s="175"/>
      <c r="N642" s="175"/>
      <c r="O642" s="175"/>
      <c r="P642" s="175"/>
      <c r="Q642" s="175"/>
      <c r="R642" s="175"/>
      <c r="S642" s="175"/>
    </row>
    <row r="643" spans="1:19" ht="14.25" customHeight="1">
      <c r="A643" s="175"/>
      <c r="B643" s="175"/>
      <c r="C643" s="175"/>
      <c r="D643" s="175"/>
      <c r="E643" s="175"/>
      <c r="F643" s="175"/>
      <c r="G643" s="175"/>
      <c r="H643" s="175"/>
      <c r="I643" s="175"/>
      <c r="J643" s="175"/>
      <c r="K643" s="175"/>
      <c r="L643" s="175"/>
      <c r="M643" s="175"/>
      <c r="N643" s="175"/>
      <c r="O643" s="175"/>
      <c r="P643" s="175"/>
      <c r="Q643" s="175"/>
      <c r="R643" s="175"/>
      <c r="S643" s="175"/>
    </row>
    <row r="644" spans="1:19" ht="14.25" customHeight="1">
      <c r="A644" s="175"/>
      <c r="B644" s="175"/>
      <c r="C644" s="175"/>
      <c r="D644" s="175"/>
      <c r="E644" s="175"/>
      <c r="F644" s="175"/>
      <c r="G644" s="175"/>
      <c r="H644" s="175"/>
      <c r="I644" s="175"/>
      <c r="J644" s="175"/>
      <c r="K644" s="175"/>
      <c r="L644" s="175"/>
      <c r="M644" s="175"/>
      <c r="N644" s="175"/>
      <c r="O644" s="175"/>
      <c r="P644" s="175"/>
      <c r="Q644" s="175"/>
      <c r="R644" s="175"/>
      <c r="S644" s="175"/>
    </row>
    <row r="645" spans="1:19" ht="14.25" customHeight="1">
      <c r="A645" s="175"/>
      <c r="B645" s="175"/>
      <c r="C645" s="175"/>
      <c r="D645" s="175"/>
      <c r="E645" s="175"/>
      <c r="F645" s="175"/>
      <c r="G645" s="175"/>
      <c r="H645" s="175"/>
      <c r="I645" s="175"/>
      <c r="J645" s="175"/>
      <c r="K645" s="175"/>
      <c r="L645" s="175"/>
      <c r="M645" s="175"/>
      <c r="N645" s="175"/>
      <c r="O645" s="175"/>
      <c r="P645" s="175"/>
      <c r="Q645" s="175"/>
      <c r="R645" s="175"/>
      <c r="S645" s="175"/>
    </row>
    <row r="646" spans="1:19" ht="14.25" customHeight="1">
      <c r="A646" s="175"/>
      <c r="B646" s="175"/>
      <c r="C646" s="175"/>
      <c r="D646" s="175"/>
      <c r="E646" s="175"/>
      <c r="F646" s="175"/>
      <c r="G646" s="175"/>
      <c r="H646" s="175"/>
      <c r="I646" s="175"/>
      <c r="J646" s="175"/>
      <c r="K646" s="175"/>
      <c r="L646" s="175"/>
      <c r="M646" s="175"/>
      <c r="N646" s="175"/>
      <c r="O646" s="175"/>
      <c r="P646" s="175"/>
      <c r="Q646" s="175"/>
      <c r="R646" s="175"/>
      <c r="S646" s="175"/>
    </row>
    <row r="647" spans="1:19" ht="14.25" customHeight="1">
      <c r="A647" s="175"/>
      <c r="B647" s="175"/>
      <c r="C647" s="175"/>
      <c r="D647" s="175"/>
      <c r="E647" s="175"/>
      <c r="F647" s="175"/>
      <c r="G647" s="175"/>
      <c r="H647" s="175"/>
      <c r="I647" s="175"/>
      <c r="J647" s="175"/>
      <c r="K647" s="175"/>
      <c r="L647" s="175"/>
      <c r="M647" s="175"/>
      <c r="N647" s="175"/>
      <c r="O647" s="175"/>
      <c r="P647" s="175"/>
      <c r="Q647" s="175"/>
      <c r="R647" s="175"/>
      <c r="S647" s="175"/>
    </row>
    <row r="648" spans="1:19" ht="14.25" customHeight="1">
      <c r="A648" s="175"/>
      <c r="B648" s="175"/>
      <c r="C648" s="175"/>
      <c r="D648" s="175"/>
      <c r="E648" s="175"/>
      <c r="F648" s="175"/>
      <c r="G648" s="175"/>
      <c r="H648" s="175"/>
      <c r="I648" s="175"/>
      <c r="J648" s="175"/>
      <c r="K648" s="175"/>
      <c r="L648" s="175"/>
      <c r="M648" s="175"/>
      <c r="N648" s="175"/>
      <c r="O648" s="175"/>
      <c r="P648" s="175"/>
      <c r="Q648" s="175"/>
      <c r="R648" s="175"/>
      <c r="S648" s="175"/>
    </row>
    <row r="649" spans="1:19" ht="14.25" customHeight="1">
      <c r="A649" s="175"/>
      <c r="B649" s="175"/>
      <c r="C649" s="175"/>
      <c r="D649" s="175"/>
      <c r="E649" s="175"/>
      <c r="F649" s="175"/>
      <c r="G649" s="175"/>
      <c r="H649" s="175"/>
      <c r="I649" s="175"/>
      <c r="J649" s="175"/>
      <c r="K649" s="175"/>
      <c r="L649" s="175"/>
      <c r="M649" s="175"/>
      <c r="N649" s="175"/>
      <c r="O649" s="175"/>
      <c r="P649" s="175"/>
      <c r="Q649" s="175"/>
      <c r="R649" s="175"/>
      <c r="S649" s="175"/>
    </row>
    <row r="650" spans="1:19" ht="14.25" customHeight="1">
      <c r="A650" s="175"/>
      <c r="B650" s="175"/>
      <c r="C650" s="175"/>
      <c r="D650" s="175"/>
      <c r="E650" s="175"/>
      <c r="F650" s="175"/>
      <c r="G650" s="175"/>
      <c r="H650" s="175"/>
      <c r="I650" s="175"/>
      <c r="J650" s="175"/>
      <c r="K650" s="175"/>
      <c r="L650" s="175"/>
      <c r="M650" s="175"/>
      <c r="N650" s="175"/>
      <c r="O650" s="175"/>
      <c r="P650" s="175"/>
      <c r="Q650" s="175"/>
      <c r="R650" s="175"/>
      <c r="S650" s="175"/>
    </row>
    <row r="651" spans="1:19" ht="14.25" customHeight="1">
      <c r="A651" s="175"/>
      <c r="B651" s="175"/>
      <c r="C651" s="175"/>
      <c r="D651" s="175"/>
      <c r="E651" s="175"/>
      <c r="F651" s="175"/>
      <c r="G651" s="175"/>
      <c r="H651" s="175"/>
      <c r="I651" s="175"/>
      <c r="J651" s="175"/>
      <c r="K651" s="175"/>
      <c r="L651" s="175"/>
      <c r="M651" s="175"/>
      <c r="N651" s="175"/>
      <c r="O651" s="175"/>
      <c r="P651" s="175"/>
      <c r="Q651" s="175"/>
      <c r="R651" s="175"/>
      <c r="S651" s="175"/>
    </row>
    <row r="652" spans="1:19" ht="14.25" customHeight="1">
      <c r="A652" s="175"/>
      <c r="B652" s="175"/>
      <c r="C652" s="175"/>
      <c r="D652" s="175"/>
      <c r="E652" s="175"/>
      <c r="F652" s="175"/>
      <c r="G652" s="175"/>
      <c r="H652" s="175"/>
      <c r="I652" s="175"/>
      <c r="J652" s="175"/>
      <c r="K652" s="175"/>
      <c r="L652" s="175"/>
      <c r="M652" s="175"/>
      <c r="N652" s="175"/>
      <c r="O652" s="175"/>
      <c r="P652" s="175"/>
      <c r="Q652" s="175"/>
      <c r="R652" s="175"/>
      <c r="S652" s="175"/>
    </row>
    <row r="653" spans="1:19" ht="14.25" customHeight="1">
      <c r="A653" s="175"/>
      <c r="B653" s="175"/>
      <c r="C653" s="175"/>
      <c r="D653" s="175"/>
      <c r="E653" s="175"/>
      <c r="F653" s="175"/>
      <c r="G653" s="175"/>
      <c r="H653" s="175"/>
      <c r="I653" s="175"/>
      <c r="J653" s="175"/>
      <c r="K653" s="175"/>
      <c r="L653" s="175"/>
      <c r="M653" s="175"/>
      <c r="N653" s="175"/>
      <c r="O653" s="175"/>
      <c r="P653" s="175"/>
      <c r="Q653" s="175"/>
      <c r="R653" s="175"/>
      <c r="S653" s="175"/>
    </row>
    <row r="654" spans="1:19" ht="14.25" customHeight="1">
      <c r="A654" s="175"/>
      <c r="B654" s="175"/>
      <c r="C654" s="175"/>
      <c r="D654" s="175"/>
      <c r="E654" s="175"/>
      <c r="F654" s="175"/>
      <c r="G654" s="175"/>
      <c r="H654" s="175"/>
      <c r="I654" s="175"/>
      <c r="J654" s="175"/>
      <c r="K654" s="175"/>
      <c r="L654" s="175"/>
      <c r="M654" s="175"/>
      <c r="N654" s="175"/>
      <c r="O654" s="175"/>
      <c r="P654" s="175"/>
      <c r="Q654" s="175"/>
      <c r="R654" s="175"/>
      <c r="S654" s="175"/>
    </row>
    <row r="655" spans="1:19" ht="14.25" customHeight="1">
      <c r="A655" s="175"/>
      <c r="B655" s="175"/>
      <c r="C655" s="175"/>
      <c r="D655" s="175"/>
      <c r="E655" s="175"/>
      <c r="F655" s="175"/>
      <c r="G655" s="175"/>
      <c r="H655" s="175"/>
      <c r="I655" s="175"/>
      <c r="J655" s="175"/>
      <c r="K655" s="175"/>
      <c r="L655" s="175"/>
      <c r="M655" s="175"/>
      <c r="N655" s="175"/>
      <c r="O655" s="175"/>
      <c r="P655" s="175"/>
      <c r="Q655" s="175"/>
      <c r="R655" s="175"/>
      <c r="S655" s="175"/>
    </row>
    <row r="656" spans="1:19" ht="14.25" customHeight="1">
      <c r="A656" s="175"/>
      <c r="B656" s="175"/>
      <c r="C656" s="175"/>
      <c r="D656" s="175"/>
      <c r="E656" s="175"/>
      <c r="F656" s="175"/>
      <c r="G656" s="175"/>
      <c r="H656" s="175"/>
      <c r="I656" s="175"/>
      <c r="J656" s="175"/>
      <c r="K656" s="175"/>
      <c r="L656" s="175"/>
      <c r="M656" s="175"/>
      <c r="N656" s="175"/>
      <c r="O656" s="175"/>
      <c r="P656" s="175"/>
      <c r="Q656" s="175"/>
      <c r="R656" s="175"/>
      <c r="S656" s="175"/>
    </row>
    <row r="657" spans="1:19" ht="14.25" customHeight="1">
      <c r="A657" s="175"/>
      <c r="B657" s="175"/>
      <c r="C657" s="175"/>
      <c r="D657" s="175"/>
      <c r="E657" s="175"/>
      <c r="F657" s="175"/>
      <c r="G657" s="175"/>
      <c r="H657" s="175"/>
      <c r="I657" s="175"/>
      <c r="J657" s="175"/>
      <c r="K657" s="175"/>
      <c r="L657" s="175"/>
      <c r="M657" s="175"/>
      <c r="N657" s="175"/>
      <c r="O657" s="175"/>
      <c r="P657" s="175"/>
      <c r="Q657" s="175"/>
      <c r="R657" s="175"/>
      <c r="S657" s="175"/>
    </row>
    <row r="658" spans="1:19" ht="14.25" customHeight="1">
      <c r="A658" s="175"/>
      <c r="B658" s="175"/>
      <c r="C658" s="175"/>
      <c r="D658" s="175"/>
      <c r="E658" s="175"/>
      <c r="F658" s="175"/>
      <c r="G658" s="175"/>
      <c r="H658" s="175"/>
      <c r="I658" s="175"/>
      <c r="J658" s="175"/>
      <c r="K658" s="175"/>
      <c r="L658" s="175"/>
      <c r="M658" s="175"/>
      <c r="N658" s="175"/>
      <c r="O658" s="175"/>
      <c r="P658" s="175"/>
      <c r="Q658" s="175"/>
      <c r="R658" s="175"/>
      <c r="S658" s="175"/>
    </row>
    <row r="659" spans="1:19" ht="14.25" customHeight="1">
      <c r="A659" s="175"/>
      <c r="B659" s="175"/>
      <c r="C659" s="175"/>
      <c r="D659" s="175"/>
      <c r="E659" s="175"/>
      <c r="F659" s="175"/>
      <c r="G659" s="175"/>
      <c r="H659" s="175"/>
      <c r="I659" s="175"/>
      <c r="J659" s="175"/>
      <c r="K659" s="175"/>
      <c r="L659" s="175"/>
      <c r="M659" s="175"/>
      <c r="N659" s="175"/>
      <c r="O659" s="175"/>
      <c r="P659" s="175"/>
      <c r="Q659" s="175"/>
      <c r="R659" s="175"/>
      <c r="S659" s="175"/>
    </row>
    <row r="660" spans="1:19" ht="14.25" customHeight="1">
      <c r="A660" s="175"/>
      <c r="B660" s="175"/>
      <c r="C660" s="175"/>
      <c r="D660" s="175"/>
      <c r="E660" s="175"/>
      <c r="F660" s="175"/>
      <c r="G660" s="175"/>
      <c r="H660" s="175"/>
      <c r="I660" s="175"/>
      <c r="J660" s="175"/>
      <c r="K660" s="175"/>
      <c r="L660" s="175"/>
      <c r="M660" s="175"/>
      <c r="N660" s="175"/>
      <c r="O660" s="175"/>
      <c r="P660" s="175"/>
      <c r="Q660" s="175"/>
      <c r="R660" s="175"/>
      <c r="S660" s="175"/>
    </row>
    <row r="661" spans="1:19" ht="14.25" customHeight="1">
      <c r="A661" s="175"/>
      <c r="B661" s="175"/>
      <c r="C661" s="175"/>
      <c r="D661" s="175"/>
      <c r="E661" s="175"/>
      <c r="F661" s="175"/>
      <c r="G661" s="175"/>
      <c r="H661" s="175"/>
      <c r="I661" s="175"/>
      <c r="J661" s="175"/>
      <c r="K661" s="175"/>
      <c r="L661" s="175"/>
      <c r="M661" s="175"/>
      <c r="N661" s="175"/>
      <c r="O661" s="175"/>
      <c r="P661" s="175"/>
      <c r="Q661" s="175"/>
      <c r="R661" s="175"/>
      <c r="S661" s="175"/>
    </row>
    <row r="662" spans="1:19" ht="14.25" customHeight="1">
      <c r="A662" s="175"/>
      <c r="B662" s="175"/>
      <c r="C662" s="175"/>
      <c r="D662" s="175"/>
      <c r="E662" s="175"/>
      <c r="F662" s="175"/>
      <c r="G662" s="175"/>
      <c r="H662" s="175"/>
      <c r="I662" s="175"/>
      <c r="J662" s="175"/>
      <c r="K662" s="175"/>
      <c r="L662" s="175"/>
      <c r="M662" s="175"/>
      <c r="N662" s="175"/>
      <c r="O662" s="175"/>
      <c r="P662" s="175"/>
      <c r="Q662" s="175"/>
      <c r="R662" s="175"/>
      <c r="S662" s="175"/>
    </row>
    <row r="663" spans="1:19" ht="14.25" customHeight="1">
      <c r="A663" s="175"/>
      <c r="B663" s="175"/>
      <c r="C663" s="175"/>
      <c r="D663" s="175"/>
      <c r="E663" s="175"/>
      <c r="F663" s="175"/>
      <c r="G663" s="175"/>
      <c r="H663" s="175"/>
      <c r="I663" s="175"/>
      <c r="J663" s="175"/>
      <c r="K663" s="175"/>
      <c r="L663" s="175"/>
      <c r="M663" s="175"/>
      <c r="N663" s="175"/>
      <c r="O663" s="175"/>
      <c r="P663" s="175"/>
      <c r="Q663" s="175"/>
      <c r="R663" s="175"/>
      <c r="S663" s="175"/>
    </row>
    <row r="664" spans="1:19" ht="14.25" customHeight="1">
      <c r="A664" s="175"/>
      <c r="B664" s="175"/>
      <c r="C664" s="175"/>
      <c r="D664" s="175"/>
      <c r="E664" s="175"/>
      <c r="F664" s="175"/>
      <c r="G664" s="175"/>
      <c r="H664" s="175"/>
      <c r="I664" s="175"/>
      <c r="J664" s="175"/>
      <c r="K664" s="175"/>
      <c r="L664" s="175"/>
      <c r="M664" s="175"/>
      <c r="N664" s="175"/>
      <c r="O664" s="175"/>
      <c r="P664" s="175"/>
      <c r="Q664" s="175"/>
      <c r="R664" s="175"/>
      <c r="S664" s="175"/>
    </row>
    <row r="665" spans="1:19" ht="14.25" customHeight="1">
      <c r="A665" s="175"/>
      <c r="B665" s="175"/>
      <c r="C665" s="175"/>
      <c r="D665" s="175"/>
      <c r="E665" s="175"/>
      <c r="F665" s="175"/>
      <c r="G665" s="175"/>
      <c r="H665" s="175"/>
      <c r="I665" s="175"/>
      <c r="J665" s="175"/>
      <c r="K665" s="175"/>
      <c r="L665" s="175"/>
      <c r="M665" s="175"/>
      <c r="N665" s="175"/>
      <c r="O665" s="175"/>
      <c r="P665" s="175"/>
      <c r="Q665" s="175"/>
      <c r="R665" s="175"/>
      <c r="S665" s="175"/>
    </row>
    <row r="666" spans="1:19" ht="14.25" customHeight="1">
      <c r="A666" s="175"/>
      <c r="B666" s="175"/>
      <c r="C666" s="175"/>
      <c r="D666" s="175"/>
      <c r="E666" s="175"/>
      <c r="F666" s="175"/>
      <c r="G666" s="175"/>
      <c r="H666" s="175"/>
      <c r="I666" s="175"/>
      <c r="J666" s="175"/>
      <c r="K666" s="175"/>
      <c r="L666" s="175"/>
      <c r="M666" s="175"/>
      <c r="N666" s="175"/>
      <c r="O666" s="175"/>
      <c r="P666" s="175"/>
      <c r="Q666" s="175"/>
      <c r="R666" s="175"/>
      <c r="S666" s="175"/>
    </row>
    <row r="667" spans="1:19" ht="14.25" customHeight="1">
      <c r="A667" s="175"/>
      <c r="B667" s="175"/>
      <c r="C667" s="175"/>
      <c r="D667" s="175"/>
      <c r="E667" s="175"/>
      <c r="F667" s="175"/>
      <c r="G667" s="175"/>
      <c r="H667" s="175"/>
      <c r="I667" s="175"/>
      <c r="J667" s="175"/>
      <c r="K667" s="175"/>
      <c r="L667" s="175"/>
      <c r="M667" s="175"/>
      <c r="N667" s="175"/>
      <c r="O667" s="175"/>
      <c r="P667" s="175"/>
      <c r="Q667" s="175"/>
      <c r="R667" s="175"/>
      <c r="S667" s="175"/>
    </row>
    <row r="668" spans="1:19" ht="14.25" customHeight="1">
      <c r="A668" s="175"/>
      <c r="B668" s="175"/>
      <c r="C668" s="175"/>
      <c r="D668" s="175"/>
      <c r="E668" s="175"/>
      <c r="F668" s="175"/>
      <c r="G668" s="175"/>
      <c r="H668" s="175"/>
      <c r="I668" s="175"/>
      <c r="J668" s="175"/>
      <c r="K668" s="175"/>
      <c r="L668" s="175"/>
      <c r="M668" s="175"/>
      <c r="N668" s="175"/>
      <c r="O668" s="175"/>
      <c r="P668" s="175"/>
      <c r="Q668" s="175"/>
      <c r="R668" s="175"/>
      <c r="S668" s="175"/>
    </row>
    <row r="669" spans="1:19" ht="14.25" customHeight="1">
      <c r="A669" s="175"/>
      <c r="B669" s="175"/>
      <c r="C669" s="175"/>
      <c r="D669" s="175"/>
      <c r="E669" s="175"/>
      <c r="F669" s="175"/>
      <c r="G669" s="175"/>
      <c r="H669" s="175"/>
      <c r="I669" s="175"/>
      <c r="J669" s="175"/>
      <c r="K669" s="175"/>
      <c r="L669" s="175"/>
      <c r="M669" s="175"/>
      <c r="N669" s="175"/>
      <c r="O669" s="175"/>
      <c r="P669" s="175"/>
      <c r="Q669" s="175"/>
      <c r="R669" s="175"/>
      <c r="S669" s="175"/>
    </row>
    <row r="670" spans="1:19" ht="14.25" customHeight="1">
      <c r="A670" s="175"/>
      <c r="B670" s="175"/>
      <c r="C670" s="175"/>
      <c r="D670" s="175"/>
      <c r="E670" s="175"/>
      <c r="F670" s="175"/>
      <c r="G670" s="175"/>
      <c r="H670" s="175"/>
      <c r="I670" s="175"/>
      <c r="J670" s="175"/>
      <c r="K670" s="175"/>
      <c r="L670" s="175"/>
      <c r="M670" s="175"/>
      <c r="N670" s="175"/>
      <c r="O670" s="175"/>
      <c r="P670" s="175"/>
      <c r="Q670" s="175"/>
      <c r="R670" s="175"/>
      <c r="S670" s="175"/>
    </row>
    <row r="671" spans="1:19" ht="14.25" customHeight="1">
      <c r="A671" s="175"/>
      <c r="B671" s="175"/>
      <c r="C671" s="175"/>
      <c r="D671" s="175"/>
      <c r="E671" s="175"/>
      <c r="F671" s="175"/>
      <c r="G671" s="175"/>
      <c r="H671" s="175"/>
      <c r="I671" s="175"/>
      <c r="J671" s="175"/>
      <c r="K671" s="175"/>
      <c r="L671" s="175"/>
      <c r="M671" s="175"/>
      <c r="N671" s="175"/>
      <c r="O671" s="175"/>
      <c r="P671" s="175"/>
      <c r="Q671" s="175"/>
      <c r="R671" s="175"/>
      <c r="S671" s="175"/>
    </row>
    <row r="672" spans="1:19" ht="14.25" customHeight="1">
      <c r="A672" s="175"/>
      <c r="B672" s="175"/>
      <c r="C672" s="175"/>
      <c r="D672" s="175"/>
      <c r="E672" s="175"/>
      <c r="F672" s="175"/>
      <c r="G672" s="175"/>
      <c r="H672" s="175"/>
      <c r="I672" s="175"/>
      <c r="J672" s="175"/>
      <c r="K672" s="175"/>
      <c r="L672" s="175"/>
      <c r="M672" s="175"/>
      <c r="N672" s="175"/>
      <c r="O672" s="175"/>
      <c r="P672" s="175"/>
      <c r="Q672" s="175"/>
      <c r="R672" s="175"/>
      <c r="S672" s="175"/>
    </row>
    <row r="673" spans="1:19" ht="14.25" customHeight="1">
      <c r="A673" s="175"/>
      <c r="B673" s="175"/>
      <c r="C673" s="175"/>
      <c r="D673" s="175"/>
      <c r="E673" s="175"/>
      <c r="F673" s="175"/>
      <c r="G673" s="175"/>
      <c r="H673" s="175"/>
      <c r="I673" s="175"/>
      <c r="J673" s="175"/>
      <c r="K673" s="175"/>
      <c r="L673" s="175"/>
      <c r="M673" s="175"/>
      <c r="N673" s="175"/>
      <c r="O673" s="175"/>
      <c r="P673" s="175"/>
      <c r="Q673" s="175"/>
      <c r="R673" s="175"/>
      <c r="S673" s="175"/>
    </row>
    <row r="674" spans="1:19" ht="14.25" customHeight="1">
      <c r="A674" s="175"/>
      <c r="B674" s="175"/>
      <c r="C674" s="175"/>
      <c r="D674" s="175"/>
      <c r="E674" s="175"/>
      <c r="F674" s="175"/>
      <c r="G674" s="175"/>
      <c r="H674" s="175"/>
      <c r="I674" s="175"/>
      <c r="J674" s="175"/>
      <c r="K674" s="175"/>
      <c r="L674" s="175"/>
      <c r="M674" s="175"/>
      <c r="N674" s="175"/>
      <c r="O674" s="175"/>
      <c r="P674" s="175"/>
      <c r="Q674" s="175"/>
      <c r="R674" s="175"/>
      <c r="S674" s="175"/>
    </row>
    <row r="675" spans="1:19" ht="14.25" customHeight="1">
      <c r="A675" s="175"/>
      <c r="B675" s="175"/>
      <c r="C675" s="175"/>
      <c r="D675" s="175"/>
      <c r="E675" s="175"/>
      <c r="F675" s="175"/>
      <c r="G675" s="175"/>
      <c r="H675" s="175"/>
      <c r="I675" s="175"/>
      <c r="J675" s="175"/>
      <c r="K675" s="175"/>
      <c r="L675" s="175"/>
      <c r="M675" s="175"/>
      <c r="N675" s="175"/>
      <c r="O675" s="175"/>
      <c r="P675" s="175"/>
      <c r="Q675" s="175"/>
      <c r="R675" s="175"/>
      <c r="S675" s="175"/>
    </row>
    <row r="676" spans="1:19" ht="14.25" customHeight="1">
      <c r="A676" s="175"/>
      <c r="B676" s="175"/>
      <c r="C676" s="175"/>
      <c r="D676" s="175"/>
      <c r="E676" s="175"/>
      <c r="F676" s="175"/>
      <c r="G676" s="175"/>
      <c r="H676" s="175"/>
      <c r="I676" s="175"/>
      <c r="J676" s="175"/>
      <c r="K676" s="175"/>
      <c r="L676" s="175"/>
      <c r="M676" s="175"/>
      <c r="N676" s="175"/>
      <c r="O676" s="175"/>
      <c r="P676" s="175"/>
      <c r="Q676" s="175"/>
      <c r="R676" s="175"/>
      <c r="S676" s="175"/>
    </row>
    <row r="677" spans="1:19" ht="14.25" customHeight="1">
      <c r="A677" s="175"/>
      <c r="B677" s="175"/>
      <c r="C677" s="175"/>
      <c r="D677" s="175"/>
      <c r="E677" s="175"/>
      <c r="F677" s="175"/>
      <c r="G677" s="175"/>
      <c r="H677" s="175"/>
      <c r="I677" s="175"/>
      <c r="J677" s="175"/>
      <c r="K677" s="175"/>
      <c r="L677" s="175"/>
      <c r="M677" s="175"/>
      <c r="N677" s="175"/>
      <c r="O677" s="175"/>
      <c r="P677" s="175"/>
      <c r="Q677" s="175"/>
      <c r="R677" s="175"/>
      <c r="S677" s="175"/>
    </row>
    <row r="678" spans="1:19" ht="14.25" customHeight="1">
      <c r="A678" s="175"/>
      <c r="B678" s="175"/>
      <c r="C678" s="175"/>
      <c r="D678" s="175"/>
      <c r="E678" s="175"/>
      <c r="F678" s="175"/>
      <c r="G678" s="175"/>
      <c r="H678" s="175"/>
      <c r="I678" s="175"/>
      <c r="J678" s="175"/>
      <c r="K678" s="175"/>
      <c r="L678" s="175"/>
      <c r="M678" s="175"/>
      <c r="N678" s="175"/>
      <c r="O678" s="175"/>
      <c r="P678" s="175"/>
      <c r="Q678" s="175"/>
      <c r="R678" s="175"/>
      <c r="S678" s="175"/>
    </row>
    <row r="679" spans="1:19" ht="14.25" customHeight="1">
      <c r="A679" s="175"/>
      <c r="B679" s="175"/>
      <c r="C679" s="175"/>
      <c r="D679" s="175"/>
      <c r="E679" s="175"/>
      <c r="F679" s="175"/>
      <c r="G679" s="175"/>
      <c r="H679" s="175"/>
      <c r="I679" s="175"/>
      <c r="J679" s="175"/>
      <c r="K679" s="175"/>
      <c r="L679" s="175"/>
      <c r="M679" s="175"/>
      <c r="N679" s="175"/>
      <c r="O679" s="175"/>
      <c r="P679" s="175"/>
      <c r="Q679" s="175"/>
      <c r="R679" s="175"/>
      <c r="S679" s="175"/>
    </row>
    <row r="680" spans="1:19" ht="14.25" customHeight="1">
      <c r="A680" s="175"/>
      <c r="B680" s="175"/>
      <c r="C680" s="175"/>
      <c r="D680" s="175"/>
      <c r="E680" s="175"/>
      <c r="F680" s="175"/>
      <c r="G680" s="175"/>
      <c r="H680" s="175"/>
      <c r="I680" s="175"/>
      <c r="J680" s="175"/>
      <c r="K680" s="175"/>
      <c r="L680" s="175"/>
      <c r="M680" s="175"/>
      <c r="N680" s="175"/>
      <c r="O680" s="175"/>
      <c r="P680" s="175"/>
      <c r="Q680" s="175"/>
      <c r="R680" s="175"/>
      <c r="S680" s="175"/>
    </row>
    <row r="681" spans="1:19" ht="14.25" customHeight="1">
      <c r="A681" s="175"/>
      <c r="B681" s="175"/>
      <c r="C681" s="175"/>
      <c r="D681" s="175"/>
      <c r="E681" s="175"/>
      <c r="F681" s="175"/>
      <c r="G681" s="175"/>
      <c r="H681" s="175"/>
      <c r="I681" s="175"/>
      <c r="J681" s="175"/>
      <c r="K681" s="175"/>
      <c r="L681" s="175"/>
      <c r="M681" s="175"/>
      <c r="N681" s="175"/>
      <c r="O681" s="175"/>
      <c r="P681" s="175"/>
      <c r="Q681" s="175"/>
      <c r="R681" s="175"/>
      <c r="S681" s="175"/>
    </row>
    <row r="682" spans="1:19" ht="14.25" customHeight="1">
      <c r="A682" s="175"/>
      <c r="B682" s="175"/>
      <c r="C682" s="175"/>
      <c r="D682" s="175"/>
      <c r="E682" s="175"/>
      <c r="F682" s="175"/>
      <c r="G682" s="175"/>
      <c r="H682" s="175"/>
      <c r="I682" s="175"/>
      <c r="J682" s="175"/>
      <c r="K682" s="175"/>
      <c r="L682" s="175"/>
      <c r="M682" s="175"/>
      <c r="N682" s="175"/>
      <c r="O682" s="175"/>
      <c r="P682" s="175"/>
      <c r="Q682" s="175"/>
      <c r="R682" s="175"/>
      <c r="S682" s="175"/>
    </row>
    <row r="683" spans="1:19" ht="14.25" customHeight="1">
      <c r="A683" s="175"/>
      <c r="B683" s="175"/>
      <c r="C683" s="175"/>
      <c r="D683" s="175"/>
      <c r="E683" s="175"/>
      <c r="F683" s="175"/>
      <c r="G683" s="175"/>
      <c r="H683" s="175"/>
      <c r="I683" s="175"/>
      <c r="J683" s="175"/>
      <c r="K683" s="175"/>
      <c r="L683" s="175"/>
      <c r="M683" s="175"/>
      <c r="N683" s="175"/>
      <c r="O683" s="175"/>
      <c r="P683" s="175"/>
      <c r="Q683" s="175"/>
      <c r="R683" s="175"/>
      <c r="S683" s="175"/>
    </row>
    <row r="684" spans="1:19" ht="14.25" customHeight="1">
      <c r="A684" s="175"/>
      <c r="B684" s="175"/>
      <c r="C684" s="175"/>
      <c r="D684" s="175"/>
      <c r="E684" s="175"/>
      <c r="F684" s="175"/>
      <c r="G684" s="175"/>
      <c r="H684" s="175"/>
      <c r="I684" s="175"/>
      <c r="J684" s="175"/>
      <c r="K684" s="175"/>
      <c r="L684" s="175"/>
      <c r="M684" s="175"/>
      <c r="N684" s="175"/>
      <c r="O684" s="175"/>
      <c r="P684" s="175"/>
      <c r="Q684" s="175"/>
      <c r="R684" s="175"/>
      <c r="S684" s="175"/>
    </row>
    <row r="685" spans="1:19" ht="14.25" customHeight="1">
      <c r="A685" s="175"/>
      <c r="B685" s="175"/>
      <c r="C685" s="175"/>
      <c r="D685" s="175"/>
      <c r="E685" s="175"/>
      <c r="F685" s="175"/>
      <c r="G685" s="175"/>
      <c r="H685" s="175"/>
      <c r="I685" s="175"/>
      <c r="J685" s="175"/>
      <c r="K685" s="175"/>
      <c r="L685" s="175"/>
      <c r="M685" s="175"/>
      <c r="N685" s="175"/>
      <c r="O685" s="175"/>
      <c r="P685" s="175"/>
      <c r="Q685" s="175"/>
      <c r="R685" s="175"/>
      <c r="S685" s="175"/>
    </row>
    <row r="686" spans="1:19" ht="14.25" customHeight="1">
      <c r="A686" s="175"/>
      <c r="B686" s="175"/>
      <c r="C686" s="175"/>
      <c r="D686" s="175"/>
      <c r="E686" s="175"/>
      <c r="F686" s="175"/>
      <c r="G686" s="175"/>
      <c r="H686" s="175"/>
      <c r="I686" s="175"/>
      <c r="J686" s="175"/>
      <c r="K686" s="175"/>
      <c r="L686" s="175"/>
      <c r="M686" s="175"/>
      <c r="N686" s="175"/>
      <c r="O686" s="175"/>
      <c r="P686" s="175"/>
      <c r="Q686" s="175"/>
      <c r="R686" s="175"/>
      <c r="S686" s="175"/>
    </row>
    <row r="687" spans="1:19" ht="14.25" customHeight="1">
      <c r="A687" s="175"/>
      <c r="B687" s="175"/>
      <c r="C687" s="175"/>
      <c r="D687" s="175"/>
      <c r="E687" s="175"/>
      <c r="F687" s="175"/>
      <c r="G687" s="175"/>
      <c r="H687" s="175"/>
      <c r="I687" s="175"/>
      <c r="J687" s="175"/>
      <c r="K687" s="175"/>
      <c r="L687" s="175"/>
      <c r="M687" s="175"/>
      <c r="N687" s="175"/>
      <c r="O687" s="175"/>
      <c r="P687" s="175"/>
      <c r="Q687" s="175"/>
      <c r="R687" s="175"/>
      <c r="S687" s="175"/>
    </row>
    <row r="688" spans="1:19" ht="14.25" customHeight="1">
      <c r="A688" s="175"/>
      <c r="B688" s="175"/>
      <c r="C688" s="175"/>
      <c r="D688" s="175"/>
      <c r="E688" s="175"/>
      <c r="F688" s="175"/>
      <c r="G688" s="175"/>
      <c r="H688" s="175"/>
      <c r="I688" s="175"/>
      <c r="J688" s="175"/>
      <c r="K688" s="175"/>
      <c r="L688" s="175"/>
      <c r="M688" s="175"/>
      <c r="N688" s="175"/>
      <c r="O688" s="175"/>
      <c r="P688" s="175"/>
      <c r="Q688" s="175"/>
      <c r="R688" s="175"/>
      <c r="S688" s="175"/>
    </row>
    <row r="689" spans="1:19" ht="14.25" customHeight="1">
      <c r="A689" s="175"/>
      <c r="B689" s="175"/>
      <c r="C689" s="175"/>
      <c r="D689" s="175"/>
      <c r="E689" s="175"/>
      <c r="F689" s="175"/>
      <c r="G689" s="175"/>
      <c r="H689" s="175"/>
      <c r="I689" s="175"/>
      <c r="J689" s="175"/>
      <c r="K689" s="175"/>
      <c r="L689" s="175"/>
      <c r="M689" s="175"/>
      <c r="N689" s="175"/>
      <c r="O689" s="175"/>
      <c r="P689" s="175"/>
      <c r="Q689" s="175"/>
      <c r="R689" s="175"/>
      <c r="S689" s="175"/>
    </row>
    <row r="690" spans="1:19" ht="14.25" customHeight="1">
      <c r="A690" s="175"/>
      <c r="B690" s="175"/>
      <c r="C690" s="175"/>
      <c r="D690" s="175"/>
      <c r="E690" s="175"/>
      <c r="F690" s="175"/>
      <c r="G690" s="175"/>
      <c r="H690" s="175"/>
      <c r="I690" s="175"/>
      <c r="J690" s="175"/>
      <c r="K690" s="175"/>
      <c r="L690" s="175"/>
      <c r="M690" s="175"/>
      <c r="N690" s="175"/>
      <c r="O690" s="175"/>
      <c r="P690" s="175"/>
      <c r="Q690" s="175"/>
      <c r="R690" s="175"/>
      <c r="S690" s="175"/>
    </row>
    <row r="691" spans="1:19" ht="14.25" customHeight="1">
      <c r="A691" s="175"/>
      <c r="B691" s="175"/>
      <c r="C691" s="175"/>
      <c r="D691" s="175"/>
      <c r="E691" s="175"/>
      <c r="F691" s="175"/>
      <c r="G691" s="175"/>
      <c r="H691" s="175"/>
      <c r="I691" s="175"/>
      <c r="J691" s="175"/>
      <c r="K691" s="175"/>
      <c r="L691" s="175"/>
      <c r="M691" s="175"/>
      <c r="N691" s="175"/>
      <c r="O691" s="175"/>
      <c r="P691" s="175"/>
      <c r="Q691" s="175"/>
      <c r="R691" s="175"/>
      <c r="S691" s="175"/>
    </row>
    <row r="692" spans="1:19" ht="14.25" customHeight="1">
      <c r="A692" s="175"/>
      <c r="B692" s="175"/>
      <c r="C692" s="175"/>
      <c r="D692" s="175"/>
      <c r="E692" s="175"/>
      <c r="F692" s="175"/>
      <c r="G692" s="175"/>
      <c r="H692" s="175"/>
      <c r="I692" s="175"/>
      <c r="J692" s="175"/>
      <c r="K692" s="175"/>
      <c r="L692" s="175"/>
      <c r="M692" s="175"/>
      <c r="N692" s="175"/>
      <c r="O692" s="175"/>
      <c r="P692" s="175"/>
      <c r="Q692" s="175"/>
      <c r="R692" s="175"/>
      <c r="S692" s="175"/>
    </row>
    <row r="693" spans="1:19" ht="14.25" customHeight="1">
      <c r="A693" s="175"/>
      <c r="B693" s="175"/>
      <c r="C693" s="175"/>
      <c r="D693" s="175"/>
      <c r="E693" s="175"/>
      <c r="F693" s="175"/>
      <c r="G693" s="175"/>
      <c r="H693" s="175"/>
      <c r="I693" s="175"/>
      <c r="J693" s="175"/>
      <c r="K693" s="175"/>
      <c r="L693" s="175"/>
      <c r="M693" s="175"/>
      <c r="N693" s="175"/>
      <c r="O693" s="175"/>
      <c r="P693" s="175"/>
      <c r="Q693" s="175"/>
      <c r="R693" s="175"/>
      <c r="S693" s="175"/>
    </row>
    <row r="694" spans="1:19" ht="14.25" customHeight="1">
      <c r="A694" s="175"/>
      <c r="B694" s="175"/>
      <c r="C694" s="175"/>
      <c r="D694" s="175"/>
      <c r="E694" s="175"/>
      <c r="F694" s="175"/>
      <c r="G694" s="175"/>
      <c r="H694" s="175"/>
      <c r="I694" s="175"/>
      <c r="J694" s="175"/>
      <c r="K694" s="175"/>
      <c r="L694" s="175"/>
      <c r="M694" s="175"/>
      <c r="N694" s="175"/>
      <c r="O694" s="175"/>
      <c r="P694" s="175"/>
      <c r="Q694" s="175"/>
      <c r="R694" s="175"/>
      <c r="S694" s="175"/>
    </row>
    <row r="695" spans="1:19" ht="14.25" customHeight="1">
      <c r="A695" s="175"/>
      <c r="B695" s="175"/>
      <c r="C695" s="175"/>
      <c r="D695" s="175"/>
      <c r="E695" s="175"/>
      <c r="F695" s="175"/>
      <c r="G695" s="175"/>
      <c r="H695" s="175"/>
      <c r="I695" s="175"/>
      <c r="J695" s="175"/>
      <c r="K695" s="175"/>
      <c r="L695" s="175"/>
      <c r="M695" s="175"/>
      <c r="N695" s="175"/>
      <c r="O695" s="175"/>
      <c r="P695" s="175"/>
      <c r="Q695" s="175"/>
      <c r="R695" s="175"/>
      <c r="S695" s="175"/>
    </row>
    <row r="696" spans="1:19" ht="14.25" customHeight="1">
      <c r="A696" s="175"/>
      <c r="B696" s="175"/>
      <c r="C696" s="175"/>
      <c r="D696" s="175"/>
      <c r="E696" s="175"/>
      <c r="F696" s="175"/>
      <c r="G696" s="175"/>
      <c r="H696" s="175"/>
      <c r="I696" s="175"/>
      <c r="J696" s="175"/>
      <c r="K696" s="175"/>
      <c r="L696" s="175"/>
      <c r="M696" s="175"/>
      <c r="N696" s="175"/>
      <c r="O696" s="175"/>
      <c r="P696" s="175"/>
      <c r="Q696" s="175"/>
      <c r="R696" s="175"/>
      <c r="S696" s="175"/>
    </row>
    <row r="697" spans="1:19" ht="14.25" customHeight="1">
      <c r="A697" s="175"/>
      <c r="B697" s="175"/>
      <c r="C697" s="175"/>
      <c r="D697" s="175"/>
      <c r="E697" s="175"/>
      <c r="F697" s="175"/>
      <c r="G697" s="175"/>
      <c r="H697" s="175"/>
      <c r="I697" s="175"/>
      <c r="J697" s="175"/>
      <c r="K697" s="175"/>
      <c r="L697" s="175"/>
      <c r="M697" s="175"/>
      <c r="N697" s="175"/>
      <c r="O697" s="175"/>
      <c r="P697" s="175"/>
      <c r="Q697" s="175"/>
      <c r="R697" s="175"/>
      <c r="S697" s="175"/>
    </row>
    <row r="698" spans="1:19" ht="14.25" customHeight="1">
      <c r="A698" s="175"/>
      <c r="B698" s="175"/>
      <c r="C698" s="175"/>
      <c r="D698" s="175"/>
      <c r="E698" s="175"/>
      <c r="F698" s="175"/>
      <c r="G698" s="175"/>
      <c r="H698" s="175"/>
      <c r="I698" s="175"/>
      <c r="J698" s="175"/>
      <c r="K698" s="175"/>
      <c r="L698" s="175"/>
      <c r="M698" s="175"/>
      <c r="N698" s="175"/>
      <c r="O698" s="175"/>
      <c r="P698" s="175"/>
      <c r="Q698" s="175"/>
      <c r="R698" s="175"/>
      <c r="S698" s="175"/>
    </row>
    <row r="699" spans="1:19" ht="14.25" customHeight="1">
      <c r="A699" s="175"/>
      <c r="B699" s="175"/>
      <c r="C699" s="175"/>
      <c r="D699" s="175"/>
      <c r="E699" s="175"/>
      <c r="F699" s="175"/>
      <c r="G699" s="175"/>
      <c r="H699" s="175"/>
      <c r="I699" s="175"/>
      <c r="J699" s="175"/>
      <c r="K699" s="175"/>
      <c r="L699" s="175"/>
      <c r="M699" s="175"/>
      <c r="N699" s="175"/>
      <c r="O699" s="175"/>
      <c r="P699" s="175"/>
      <c r="Q699" s="175"/>
      <c r="R699" s="175"/>
      <c r="S699" s="175"/>
    </row>
    <row r="700" spans="1:19" ht="14.25" customHeight="1">
      <c r="A700" s="175"/>
      <c r="B700" s="175"/>
      <c r="C700" s="175"/>
      <c r="D700" s="175"/>
      <c r="E700" s="175"/>
      <c r="F700" s="175"/>
      <c r="G700" s="175"/>
      <c r="H700" s="175"/>
      <c r="I700" s="175"/>
      <c r="J700" s="175"/>
      <c r="K700" s="175"/>
      <c r="L700" s="175"/>
      <c r="M700" s="175"/>
      <c r="N700" s="175"/>
      <c r="O700" s="175"/>
      <c r="P700" s="175"/>
      <c r="Q700" s="175"/>
      <c r="R700" s="175"/>
      <c r="S700" s="175"/>
    </row>
    <row r="701" spans="1:19" ht="14.25" customHeight="1">
      <c r="A701" s="175"/>
      <c r="B701" s="175"/>
      <c r="C701" s="175"/>
      <c r="D701" s="175"/>
      <c r="E701" s="175"/>
      <c r="F701" s="175"/>
      <c r="G701" s="175"/>
      <c r="H701" s="175"/>
      <c r="I701" s="175"/>
      <c r="J701" s="175"/>
      <c r="K701" s="175"/>
      <c r="L701" s="175"/>
      <c r="M701" s="175"/>
      <c r="N701" s="175"/>
      <c r="O701" s="175"/>
      <c r="P701" s="175"/>
      <c r="Q701" s="175"/>
      <c r="R701" s="175"/>
      <c r="S701" s="175"/>
    </row>
    <row r="702" spans="1:19" ht="14.25" customHeight="1">
      <c r="A702" s="175"/>
      <c r="B702" s="175"/>
      <c r="C702" s="175"/>
      <c r="D702" s="175"/>
      <c r="E702" s="175"/>
      <c r="F702" s="175"/>
      <c r="G702" s="175"/>
      <c r="H702" s="175"/>
      <c r="I702" s="175"/>
      <c r="J702" s="175"/>
      <c r="K702" s="175"/>
      <c r="L702" s="175"/>
      <c r="M702" s="175"/>
      <c r="N702" s="175"/>
      <c r="O702" s="175"/>
      <c r="P702" s="175"/>
      <c r="Q702" s="175"/>
      <c r="R702" s="175"/>
      <c r="S702" s="175"/>
    </row>
    <row r="703" spans="1:19" ht="14.25" customHeight="1">
      <c r="A703" s="175"/>
      <c r="B703" s="175"/>
      <c r="C703" s="175"/>
      <c r="D703" s="175"/>
      <c r="E703" s="175"/>
      <c r="F703" s="175"/>
      <c r="G703" s="175"/>
      <c r="H703" s="175"/>
      <c r="I703" s="175"/>
      <c r="J703" s="175"/>
      <c r="K703" s="175"/>
      <c r="L703" s="175"/>
      <c r="M703" s="175"/>
      <c r="N703" s="175"/>
      <c r="O703" s="175"/>
      <c r="P703" s="175"/>
      <c r="Q703" s="175"/>
      <c r="R703" s="175"/>
      <c r="S703" s="175"/>
    </row>
    <row r="704" spans="1:19" ht="14.25" customHeight="1">
      <c r="A704" s="175"/>
      <c r="B704" s="175"/>
      <c r="C704" s="175"/>
      <c r="D704" s="175"/>
      <c r="E704" s="175"/>
      <c r="F704" s="175"/>
      <c r="G704" s="175"/>
      <c r="H704" s="175"/>
      <c r="I704" s="175"/>
      <c r="J704" s="175"/>
      <c r="K704" s="175"/>
      <c r="L704" s="175"/>
      <c r="M704" s="175"/>
      <c r="N704" s="175"/>
      <c r="O704" s="175"/>
      <c r="P704" s="175"/>
      <c r="Q704" s="175"/>
      <c r="R704" s="175"/>
      <c r="S704" s="175"/>
    </row>
    <row r="705" spans="1:19" ht="14.25" customHeight="1">
      <c r="A705" s="175"/>
      <c r="B705" s="175"/>
      <c r="C705" s="175"/>
      <c r="D705" s="175"/>
      <c r="E705" s="175"/>
      <c r="F705" s="175"/>
      <c r="G705" s="175"/>
      <c r="H705" s="175"/>
      <c r="I705" s="175"/>
      <c r="J705" s="175"/>
      <c r="K705" s="175"/>
      <c r="L705" s="175"/>
      <c r="M705" s="175"/>
      <c r="N705" s="175"/>
      <c r="O705" s="175"/>
      <c r="P705" s="175"/>
      <c r="Q705" s="175"/>
      <c r="R705" s="175"/>
      <c r="S705" s="175"/>
    </row>
    <row r="706" spans="1:19" ht="14.25" customHeight="1">
      <c r="A706" s="175"/>
      <c r="B706" s="175"/>
      <c r="C706" s="175"/>
      <c r="D706" s="175"/>
      <c r="E706" s="175"/>
      <c r="F706" s="175"/>
      <c r="G706" s="175"/>
      <c r="H706" s="175"/>
      <c r="I706" s="175"/>
      <c r="J706" s="175"/>
      <c r="K706" s="175"/>
      <c r="L706" s="175"/>
      <c r="M706" s="175"/>
      <c r="N706" s="175"/>
      <c r="O706" s="175"/>
      <c r="P706" s="175"/>
      <c r="Q706" s="175"/>
      <c r="R706" s="175"/>
      <c r="S706" s="175"/>
    </row>
    <row r="707" spans="1:19" ht="14.25" customHeight="1">
      <c r="A707" s="175"/>
      <c r="B707" s="175"/>
      <c r="C707" s="175"/>
      <c r="D707" s="175"/>
      <c r="E707" s="175"/>
      <c r="F707" s="175"/>
      <c r="G707" s="175"/>
      <c r="H707" s="175"/>
      <c r="I707" s="175"/>
      <c r="J707" s="175"/>
      <c r="K707" s="175"/>
      <c r="L707" s="175"/>
      <c r="M707" s="175"/>
      <c r="N707" s="175"/>
      <c r="O707" s="175"/>
      <c r="P707" s="175"/>
      <c r="Q707" s="175"/>
      <c r="R707" s="175"/>
      <c r="S707" s="175"/>
    </row>
    <row r="708" spans="1:19" ht="14.25" customHeight="1">
      <c r="A708" s="175"/>
      <c r="B708" s="175"/>
      <c r="C708" s="175"/>
      <c r="D708" s="175"/>
      <c r="E708" s="175"/>
      <c r="F708" s="175"/>
      <c r="G708" s="175"/>
      <c r="H708" s="175"/>
      <c r="I708" s="175"/>
      <c r="J708" s="175"/>
      <c r="K708" s="175"/>
      <c r="L708" s="175"/>
      <c r="M708" s="175"/>
      <c r="N708" s="175"/>
      <c r="O708" s="175"/>
      <c r="P708" s="175"/>
      <c r="Q708" s="175"/>
      <c r="R708" s="175"/>
      <c r="S708" s="175"/>
    </row>
    <row r="709" spans="1:19" ht="14.25" customHeight="1">
      <c r="A709" s="175"/>
      <c r="B709" s="175"/>
      <c r="C709" s="175"/>
      <c r="D709" s="175"/>
      <c r="E709" s="175"/>
      <c r="F709" s="175"/>
      <c r="G709" s="175"/>
      <c r="H709" s="175"/>
      <c r="I709" s="175"/>
      <c r="J709" s="175"/>
      <c r="K709" s="175"/>
      <c r="L709" s="175"/>
      <c r="M709" s="175"/>
      <c r="N709" s="175"/>
      <c r="O709" s="175"/>
      <c r="P709" s="175"/>
      <c r="Q709" s="175"/>
      <c r="R709" s="175"/>
      <c r="S709" s="175"/>
    </row>
    <row r="710" spans="1:19" ht="14.25" customHeight="1">
      <c r="A710" s="175"/>
      <c r="B710" s="175"/>
      <c r="C710" s="175"/>
      <c r="D710" s="175"/>
      <c r="E710" s="175"/>
      <c r="F710" s="175"/>
      <c r="G710" s="175"/>
      <c r="H710" s="175"/>
      <c r="I710" s="175"/>
      <c r="J710" s="175"/>
      <c r="K710" s="175"/>
      <c r="L710" s="175"/>
      <c r="M710" s="175"/>
      <c r="N710" s="175"/>
      <c r="O710" s="175"/>
      <c r="P710" s="175"/>
      <c r="Q710" s="175"/>
      <c r="R710" s="175"/>
      <c r="S710" s="175"/>
    </row>
    <row r="711" spans="1:19" ht="14.25" customHeight="1">
      <c r="A711" s="175"/>
      <c r="B711" s="175"/>
      <c r="C711" s="175"/>
      <c r="D711" s="175"/>
      <c r="E711" s="175"/>
      <c r="F711" s="175"/>
      <c r="G711" s="175"/>
      <c r="H711" s="175"/>
      <c r="I711" s="175"/>
      <c r="J711" s="175"/>
      <c r="K711" s="175"/>
      <c r="L711" s="175"/>
      <c r="M711" s="175"/>
      <c r="N711" s="175"/>
      <c r="O711" s="175"/>
      <c r="P711" s="175"/>
      <c r="Q711" s="175"/>
      <c r="R711" s="175"/>
      <c r="S711" s="175"/>
    </row>
    <row r="712" spans="1:19" ht="14.25" customHeight="1">
      <c r="A712" s="175"/>
      <c r="B712" s="175"/>
      <c r="C712" s="175"/>
      <c r="D712" s="175"/>
      <c r="E712" s="175"/>
      <c r="F712" s="175"/>
      <c r="G712" s="175"/>
      <c r="H712" s="175"/>
      <c r="I712" s="175"/>
      <c r="J712" s="175"/>
      <c r="K712" s="175"/>
      <c r="L712" s="175"/>
      <c r="M712" s="175"/>
      <c r="N712" s="175"/>
      <c r="O712" s="175"/>
      <c r="P712" s="175"/>
      <c r="Q712" s="175"/>
      <c r="R712" s="175"/>
      <c r="S712" s="175"/>
    </row>
    <row r="713" spans="1:19" ht="14.25" customHeight="1">
      <c r="A713" s="175"/>
      <c r="B713" s="175"/>
      <c r="C713" s="175"/>
      <c r="D713" s="175"/>
      <c r="E713" s="175"/>
      <c r="F713" s="175"/>
      <c r="G713" s="175"/>
      <c r="H713" s="175"/>
      <c r="I713" s="175"/>
      <c r="J713" s="175"/>
      <c r="K713" s="175"/>
      <c r="L713" s="175"/>
      <c r="M713" s="175"/>
      <c r="N713" s="175"/>
      <c r="O713" s="175"/>
      <c r="P713" s="175"/>
      <c r="Q713" s="175"/>
      <c r="R713" s="175"/>
      <c r="S713" s="175"/>
    </row>
    <row r="714" spans="1:19" ht="14.25" customHeight="1">
      <c r="A714" s="175"/>
      <c r="B714" s="175"/>
      <c r="C714" s="175"/>
      <c r="D714" s="175"/>
      <c r="E714" s="175"/>
      <c r="F714" s="175"/>
      <c r="G714" s="175"/>
      <c r="H714" s="175"/>
      <c r="I714" s="175"/>
      <c r="J714" s="175"/>
      <c r="K714" s="175"/>
      <c r="L714" s="175"/>
      <c r="M714" s="175"/>
      <c r="N714" s="175"/>
      <c r="O714" s="175"/>
      <c r="P714" s="175"/>
      <c r="Q714" s="175"/>
      <c r="R714" s="175"/>
      <c r="S714" s="175"/>
    </row>
    <row r="715" spans="1:19" ht="14.25" customHeight="1">
      <c r="A715" s="175"/>
      <c r="B715" s="175"/>
      <c r="C715" s="175"/>
      <c r="D715" s="175"/>
      <c r="E715" s="175"/>
      <c r="F715" s="175"/>
      <c r="G715" s="175"/>
      <c r="H715" s="175"/>
      <c r="I715" s="175"/>
      <c r="J715" s="175"/>
      <c r="K715" s="175"/>
      <c r="L715" s="175"/>
      <c r="M715" s="175"/>
      <c r="N715" s="175"/>
      <c r="O715" s="175"/>
      <c r="P715" s="175"/>
      <c r="Q715" s="175"/>
      <c r="R715" s="175"/>
      <c r="S715" s="175"/>
    </row>
    <row r="716" spans="1:19" ht="14.25" customHeight="1">
      <c r="A716" s="175"/>
      <c r="B716" s="175"/>
      <c r="C716" s="175"/>
      <c r="D716" s="175"/>
      <c r="E716" s="175"/>
      <c r="F716" s="175"/>
      <c r="G716" s="175"/>
      <c r="H716" s="175"/>
      <c r="I716" s="175"/>
      <c r="J716" s="175"/>
      <c r="K716" s="175"/>
      <c r="L716" s="175"/>
      <c r="M716" s="175"/>
      <c r="N716" s="175"/>
      <c r="O716" s="175"/>
      <c r="P716" s="175"/>
      <c r="Q716" s="175"/>
      <c r="R716" s="175"/>
      <c r="S716" s="175"/>
    </row>
    <row r="717" spans="1:19" ht="14.25" customHeight="1">
      <c r="A717" s="175"/>
      <c r="B717" s="175"/>
      <c r="C717" s="175"/>
      <c r="D717" s="175"/>
      <c r="E717" s="175"/>
      <c r="F717" s="175"/>
      <c r="G717" s="175"/>
      <c r="H717" s="175"/>
      <c r="I717" s="175"/>
      <c r="J717" s="175"/>
      <c r="K717" s="175"/>
      <c r="L717" s="175"/>
      <c r="M717" s="175"/>
      <c r="N717" s="175"/>
      <c r="O717" s="175"/>
      <c r="P717" s="175"/>
      <c r="Q717" s="175"/>
      <c r="R717" s="175"/>
      <c r="S717" s="175"/>
    </row>
    <row r="718" spans="1:19" ht="14.25" customHeight="1">
      <c r="A718" s="175"/>
      <c r="B718" s="175"/>
      <c r="C718" s="175"/>
      <c r="D718" s="175"/>
      <c r="E718" s="175"/>
      <c r="F718" s="175"/>
      <c r="G718" s="175"/>
      <c r="H718" s="175"/>
      <c r="I718" s="175"/>
      <c r="J718" s="175"/>
      <c r="K718" s="175"/>
      <c r="L718" s="175"/>
      <c r="M718" s="175"/>
      <c r="N718" s="175"/>
      <c r="O718" s="175"/>
      <c r="P718" s="175"/>
      <c r="Q718" s="175"/>
      <c r="R718" s="175"/>
      <c r="S718" s="175"/>
    </row>
    <row r="719" spans="1:19" ht="14.25" customHeight="1">
      <c r="A719" s="175"/>
      <c r="B719" s="175"/>
      <c r="C719" s="175"/>
      <c r="D719" s="175"/>
      <c r="E719" s="175"/>
      <c r="F719" s="175"/>
      <c r="G719" s="175"/>
      <c r="H719" s="175"/>
      <c r="I719" s="175"/>
      <c r="J719" s="175"/>
      <c r="K719" s="175"/>
      <c r="L719" s="175"/>
      <c r="M719" s="175"/>
      <c r="N719" s="175"/>
      <c r="O719" s="175"/>
      <c r="P719" s="175"/>
      <c r="Q719" s="175"/>
      <c r="R719" s="175"/>
      <c r="S719" s="175"/>
    </row>
    <row r="720" spans="1:19" ht="14.25" customHeight="1">
      <c r="A720" s="175"/>
      <c r="B720" s="175"/>
      <c r="C720" s="175"/>
      <c r="D720" s="175"/>
      <c r="E720" s="175"/>
      <c r="F720" s="175"/>
      <c r="G720" s="175"/>
      <c r="H720" s="175"/>
      <c r="I720" s="175"/>
      <c r="J720" s="175"/>
      <c r="K720" s="175"/>
      <c r="L720" s="175"/>
      <c r="M720" s="175"/>
      <c r="N720" s="175"/>
      <c r="O720" s="175"/>
      <c r="P720" s="175"/>
      <c r="Q720" s="175"/>
      <c r="R720" s="175"/>
      <c r="S720" s="175"/>
    </row>
    <row r="721" spans="1:19" ht="14.25" customHeight="1">
      <c r="A721" s="175"/>
      <c r="B721" s="175"/>
      <c r="C721" s="175"/>
      <c r="D721" s="175"/>
      <c r="E721" s="175"/>
      <c r="F721" s="175"/>
      <c r="G721" s="175"/>
      <c r="H721" s="175"/>
      <c r="I721" s="175"/>
      <c r="J721" s="175"/>
      <c r="K721" s="175"/>
      <c r="L721" s="175"/>
      <c r="M721" s="175"/>
      <c r="N721" s="175"/>
      <c r="O721" s="175"/>
      <c r="P721" s="175"/>
      <c r="Q721" s="175"/>
      <c r="R721" s="175"/>
      <c r="S721" s="175"/>
    </row>
    <row r="722" spans="1:19" ht="14.25" customHeight="1">
      <c r="A722" s="175"/>
      <c r="B722" s="175"/>
      <c r="C722" s="175"/>
      <c r="D722" s="175"/>
      <c r="E722" s="175"/>
      <c r="F722" s="175"/>
      <c r="G722" s="175"/>
      <c r="H722" s="175"/>
      <c r="I722" s="175"/>
      <c r="J722" s="175"/>
      <c r="K722" s="175"/>
      <c r="L722" s="175"/>
      <c r="M722" s="175"/>
      <c r="N722" s="175"/>
      <c r="O722" s="175"/>
      <c r="P722" s="175"/>
      <c r="Q722" s="175"/>
      <c r="R722" s="175"/>
      <c r="S722" s="175"/>
    </row>
    <row r="723" spans="1:19" ht="14.25" customHeight="1">
      <c r="A723" s="175"/>
      <c r="B723" s="175"/>
      <c r="C723" s="175"/>
      <c r="D723" s="175"/>
      <c r="E723" s="175"/>
      <c r="F723" s="175"/>
      <c r="G723" s="175"/>
      <c r="H723" s="175"/>
      <c r="I723" s="175"/>
      <c r="J723" s="175"/>
      <c r="K723" s="175"/>
      <c r="L723" s="175"/>
      <c r="M723" s="175"/>
      <c r="N723" s="175"/>
      <c r="O723" s="175"/>
      <c r="P723" s="175"/>
      <c r="Q723" s="175"/>
      <c r="R723" s="175"/>
      <c r="S723" s="175"/>
    </row>
    <row r="724" spans="1:19" ht="14.25" customHeight="1">
      <c r="A724" s="175"/>
      <c r="B724" s="175"/>
      <c r="C724" s="175"/>
      <c r="D724" s="175"/>
      <c r="E724" s="175"/>
      <c r="F724" s="175"/>
      <c r="G724" s="175"/>
      <c r="H724" s="175"/>
      <c r="I724" s="175"/>
      <c r="J724" s="175"/>
      <c r="K724" s="175"/>
      <c r="L724" s="175"/>
      <c r="M724" s="175"/>
      <c r="N724" s="175"/>
      <c r="O724" s="175"/>
      <c r="P724" s="175"/>
      <c r="Q724" s="175"/>
      <c r="R724" s="175"/>
      <c r="S724" s="175"/>
    </row>
    <row r="725" spans="1:19" ht="14.25" customHeight="1">
      <c r="A725" s="175"/>
      <c r="B725" s="175"/>
      <c r="C725" s="175"/>
      <c r="D725" s="175"/>
      <c r="E725" s="175"/>
      <c r="F725" s="175"/>
      <c r="G725" s="175"/>
      <c r="H725" s="175"/>
      <c r="I725" s="175"/>
      <c r="J725" s="175"/>
      <c r="K725" s="175"/>
      <c r="L725" s="175"/>
      <c r="M725" s="175"/>
      <c r="N725" s="175"/>
      <c r="O725" s="175"/>
      <c r="P725" s="175"/>
      <c r="Q725" s="175"/>
      <c r="R725" s="175"/>
      <c r="S725" s="175"/>
    </row>
    <row r="726" spans="1:19" ht="14.25" customHeight="1">
      <c r="A726" s="175"/>
      <c r="B726" s="175"/>
      <c r="C726" s="175"/>
      <c r="D726" s="175"/>
      <c r="E726" s="175"/>
      <c r="F726" s="175"/>
      <c r="G726" s="175"/>
      <c r="H726" s="175"/>
      <c r="I726" s="175"/>
      <c r="J726" s="175"/>
      <c r="K726" s="175"/>
      <c r="L726" s="175"/>
      <c r="M726" s="175"/>
      <c r="N726" s="175"/>
      <c r="O726" s="175"/>
      <c r="P726" s="175"/>
      <c r="Q726" s="175"/>
      <c r="R726" s="175"/>
      <c r="S726" s="175"/>
    </row>
    <row r="727" spans="1:19" ht="14.25" customHeight="1">
      <c r="A727" s="175"/>
      <c r="B727" s="175"/>
      <c r="C727" s="175"/>
      <c r="D727" s="175"/>
      <c r="E727" s="175"/>
      <c r="F727" s="175"/>
      <c r="G727" s="175"/>
      <c r="H727" s="175"/>
      <c r="I727" s="175"/>
      <c r="J727" s="175"/>
      <c r="K727" s="175"/>
      <c r="L727" s="175"/>
      <c r="M727" s="175"/>
      <c r="N727" s="175"/>
      <c r="O727" s="175"/>
      <c r="P727" s="175"/>
      <c r="Q727" s="175"/>
      <c r="R727" s="175"/>
      <c r="S727" s="175"/>
    </row>
    <row r="728" spans="1:19" ht="14.25" customHeight="1">
      <c r="A728" s="175"/>
      <c r="B728" s="175"/>
      <c r="C728" s="175"/>
      <c r="D728" s="175"/>
      <c r="E728" s="175"/>
      <c r="F728" s="175"/>
      <c r="G728" s="175"/>
      <c r="H728" s="175"/>
      <c r="I728" s="175"/>
      <c r="J728" s="175"/>
      <c r="K728" s="175"/>
      <c r="L728" s="175"/>
      <c r="M728" s="175"/>
      <c r="N728" s="175"/>
      <c r="O728" s="175"/>
      <c r="P728" s="175"/>
      <c r="Q728" s="175"/>
      <c r="R728" s="175"/>
      <c r="S728" s="175"/>
    </row>
    <row r="729" spans="1:19" ht="14.25" customHeight="1">
      <c r="A729" s="175"/>
      <c r="B729" s="175"/>
      <c r="C729" s="175"/>
      <c r="D729" s="175"/>
      <c r="E729" s="175"/>
      <c r="F729" s="175"/>
      <c r="G729" s="175"/>
      <c r="H729" s="175"/>
      <c r="I729" s="175"/>
      <c r="J729" s="175"/>
      <c r="K729" s="175"/>
      <c r="L729" s="175"/>
      <c r="M729" s="175"/>
      <c r="N729" s="175"/>
      <c r="O729" s="175"/>
      <c r="P729" s="175"/>
      <c r="Q729" s="175"/>
      <c r="R729" s="175"/>
      <c r="S729" s="175"/>
    </row>
    <row r="730" spans="1:19" ht="14.25" customHeight="1">
      <c r="A730" s="175"/>
      <c r="B730" s="175"/>
      <c r="C730" s="175"/>
      <c r="D730" s="175"/>
      <c r="E730" s="175"/>
      <c r="F730" s="175"/>
      <c r="G730" s="175"/>
      <c r="H730" s="175"/>
      <c r="I730" s="175"/>
      <c r="J730" s="175"/>
      <c r="K730" s="175"/>
      <c r="L730" s="175"/>
      <c r="M730" s="175"/>
      <c r="N730" s="175"/>
      <c r="O730" s="175"/>
      <c r="P730" s="175"/>
      <c r="Q730" s="175"/>
      <c r="R730" s="175"/>
      <c r="S730" s="175"/>
    </row>
    <row r="731" spans="1:19" ht="14.25" customHeight="1">
      <c r="A731" s="175"/>
      <c r="B731" s="175"/>
      <c r="C731" s="175"/>
      <c r="D731" s="175"/>
      <c r="E731" s="175"/>
      <c r="F731" s="175"/>
      <c r="G731" s="175"/>
      <c r="H731" s="175"/>
      <c r="I731" s="175"/>
      <c r="J731" s="175"/>
      <c r="K731" s="175"/>
      <c r="L731" s="175"/>
      <c r="M731" s="175"/>
      <c r="N731" s="175"/>
      <c r="O731" s="175"/>
      <c r="P731" s="175"/>
      <c r="Q731" s="175"/>
      <c r="R731" s="175"/>
      <c r="S731" s="175"/>
    </row>
    <row r="732" spans="1:19" ht="14.25" customHeight="1">
      <c r="A732" s="175"/>
      <c r="B732" s="175"/>
      <c r="C732" s="175"/>
      <c r="D732" s="175"/>
      <c r="E732" s="175"/>
      <c r="F732" s="175"/>
      <c r="G732" s="175"/>
      <c r="H732" s="175"/>
      <c r="I732" s="175"/>
      <c r="J732" s="175"/>
      <c r="K732" s="175"/>
      <c r="L732" s="175"/>
      <c r="M732" s="175"/>
      <c r="N732" s="175"/>
      <c r="O732" s="175"/>
      <c r="P732" s="175"/>
      <c r="Q732" s="175"/>
      <c r="R732" s="175"/>
      <c r="S732" s="175"/>
    </row>
    <row r="733" spans="1:19" ht="14.25" customHeight="1">
      <c r="A733" s="175"/>
      <c r="B733" s="175"/>
      <c r="C733" s="175"/>
      <c r="D733" s="175"/>
      <c r="E733" s="175"/>
      <c r="F733" s="175"/>
      <c r="G733" s="175"/>
      <c r="H733" s="175"/>
      <c r="I733" s="175"/>
      <c r="J733" s="175"/>
      <c r="K733" s="175"/>
      <c r="L733" s="175"/>
      <c r="M733" s="175"/>
      <c r="N733" s="175"/>
      <c r="O733" s="175"/>
      <c r="P733" s="175"/>
      <c r="Q733" s="175"/>
      <c r="R733" s="175"/>
      <c r="S733" s="175"/>
    </row>
    <row r="734" spans="1:19" ht="14.25" customHeight="1">
      <c r="A734" s="175"/>
      <c r="B734" s="175"/>
      <c r="C734" s="175"/>
      <c r="D734" s="175"/>
      <c r="E734" s="175"/>
      <c r="F734" s="175"/>
      <c r="G734" s="175"/>
      <c r="H734" s="175"/>
      <c r="I734" s="175"/>
      <c r="J734" s="175"/>
      <c r="K734" s="175"/>
      <c r="L734" s="175"/>
      <c r="M734" s="175"/>
      <c r="N734" s="175"/>
      <c r="O734" s="175"/>
      <c r="P734" s="175"/>
      <c r="Q734" s="175"/>
      <c r="R734" s="175"/>
      <c r="S734" s="175"/>
    </row>
    <row r="735" spans="1:19" ht="14.25" customHeight="1">
      <c r="A735" s="175"/>
      <c r="B735" s="175"/>
      <c r="C735" s="175"/>
      <c r="D735" s="175"/>
      <c r="E735" s="175"/>
      <c r="F735" s="175"/>
      <c r="G735" s="175"/>
      <c r="H735" s="175"/>
      <c r="I735" s="175"/>
      <c r="J735" s="175"/>
      <c r="K735" s="175"/>
      <c r="L735" s="175"/>
      <c r="M735" s="175"/>
      <c r="N735" s="175"/>
      <c r="O735" s="175"/>
      <c r="P735" s="175"/>
      <c r="Q735" s="175"/>
      <c r="R735" s="175"/>
      <c r="S735" s="175"/>
    </row>
    <row r="736" spans="1:19" ht="14.25" customHeight="1">
      <c r="A736" s="175"/>
      <c r="B736" s="175"/>
      <c r="C736" s="175"/>
      <c r="D736" s="175"/>
      <c r="E736" s="175"/>
      <c r="F736" s="175"/>
      <c r="G736" s="175"/>
      <c r="H736" s="175"/>
      <c r="I736" s="175"/>
      <c r="J736" s="175"/>
      <c r="K736" s="175"/>
      <c r="L736" s="175"/>
      <c r="M736" s="175"/>
      <c r="N736" s="175"/>
      <c r="O736" s="175"/>
      <c r="P736" s="175"/>
      <c r="Q736" s="175"/>
      <c r="R736" s="175"/>
      <c r="S736" s="175"/>
    </row>
    <row r="737" spans="1:19" ht="14.25" customHeight="1">
      <c r="A737" s="175"/>
      <c r="B737" s="175"/>
      <c r="C737" s="175"/>
      <c r="D737" s="175"/>
      <c r="E737" s="175"/>
      <c r="F737" s="175"/>
      <c r="G737" s="175"/>
      <c r="H737" s="175"/>
      <c r="I737" s="175"/>
      <c r="J737" s="175"/>
      <c r="K737" s="175"/>
      <c r="L737" s="175"/>
      <c r="M737" s="175"/>
      <c r="N737" s="175"/>
      <c r="O737" s="175"/>
      <c r="P737" s="175"/>
      <c r="Q737" s="175"/>
      <c r="R737" s="175"/>
      <c r="S737" s="175"/>
    </row>
    <row r="738" spans="1:19" ht="14.25" customHeight="1">
      <c r="A738" s="175"/>
      <c r="B738" s="175"/>
      <c r="C738" s="175"/>
      <c r="D738" s="175"/>
      <c r="E738" s="175"/>
      <c r="F738" s="175"/>
      <c r="G738" s="175"/>
      <c r="H738" s="175"/>
      <c r="I738" s="175"/>
      <c r="J738" s="175"/>
      <c r="K738" s="175"/>
      <c r="L738" s="175"/>
      <c r="M738" s="175"/>
      <c r="N738" s="175"/>
      <c r="O738" s="175"/>
      <c r="P738" s="175"/>
      <c r="Q738" s="175"/>
      <c r="R738" s="175"/>
      <c r="S738" s="175"/>
    </row>
    <row r="739" spans="1:19" ht="14.25" customHeight="1">
      <c r="A739" s="175"/>
      <c r="B739" s="175"/>
      <c r="C739" s="175"/>
      <c r="D739" s="175"/>
      <c r="E739" s="175"/>
      <c r="F739" s="175"/>
      <c r="G739" s="175"/>
      <c r="H739" s="175"/>
      <c r="I739" s="175"/>
      <c r="J739" s="175"/>
      <c r="K739" s="175"/>
      <c r="L739" s="175"/>
      <c r="M739" s="175"/>
      <c r="N739" s="175"/>
      <c r="O739" s="175"/>
      <c r="P739" s="175"/>
      <c r="Q739" s="175"/>
      <c r="R739" s="175"/>
      <c r="S739" s="175"/>
    </row>
    <row r="740" spans="1:19" ht="14.25" customHeight="1">
      <c r="A740" s="175"/>
      <c r="B740" s="175"/>
      <c r="C740" s="175"/>
      <c r="D740" s="175"/>
      <c r="E740" s="175"/>
      <c r="F740" s="175"/>
      <c r="G740" s="175"/>
      <c r="H740" s="175"/>
      <c r="I740" s="175"/>
      <c r="J740" s="175"/>
      <c r="K740" s="175"/>
      <c r="L740" s="175"/>
      <c r="M740" s="175"/>
      <c r="N740" s="175"/>
      <c r="O740" s="175"/>
      <c r="P740" s="175"/>
      <c r="Q740" s="175"/>
      <c r="R740" s="175"/>
      <c r="S740" s="175"/>
    </row>
    <row r="741" spans="1:19" ht="14.25" customHeight="1">
      <c r="A741" s="175"/>
      <c r="B741" s="175"/>
      <c r="C741" s="175"/>
      <c r="D741" s="175"/>
      <c r="E741" s="175"/>
      <c r="F741" s="175"/>
      <c r="G741" s="175"/>
      <c r="H741" s="175"/>
      <c r="I741" s="175"/>
      <c r="J741" s="175"/>
      <c r="K741" s="175"/>
      <c r="L741" s="175"/>
      <c r="M741" s="175"/>
      <c r="N741" s="175"/>
      <c r="O741" s="175"/>
      <c r="P741" s="175"/>
      <c r="Q741" s="175"/>
      <c r="R741" s="175"/>
      <c r="S741" s="175"/>
    </row>
    <row r="742" spans="1:19" ht="14.25" customHeight="1">
      <c r="A742" s="175"/>
      <c r="B742" s="175"/>
      <c r="C742" s="175"/>
      <c r="D742" s="175"/>
      <c r="E742" s="175"/>
      <c r="F742" s="175"/>
      <c r="G742" s="175"/>
      <c r="H742" s="175"/>
      <c r="I742" s="175"/>
      <c r="J742" s="175"/>
      <c r="K742" s="175"/>
      <c r="L742" s="175"/>
      <c r="M742" s="175"/>
      <c r="N742" s="175"/>
      <c r="O742" s="175"/>
      <c r="P742" s="175"/>
      <c r="Q742" s="175"/>
      <c r="R742" s="175"/>
      <c r="S742" s="175"/>
    </row>
    <row r="743" spans="1:19" ht="14.25" customHeight="1">
      <c r="A743" s="175"/>
      <c r="B743" s="175"/>
      <c r="C743" s="175"/>
      <c r="D743" s="175"/>
      <c r="E743" s="175"/>
      <c r="F743" s="175"/>
      <c r="G743" s="175"/>
      <c r="H743" s="175"/>
      <c r="I743" s="175"/>
      <c r="J743" s="175"/>
      <c r="K743" s="175"/>
      <c r="L743" s="175"/>
      <c r="M743" s="175"/>
      <c r="N743" s="175"/>
      <c r="O743" s="175"/>
      <c r="P743" s="175"/>
      <c r="Q743" s="175"/>
      <c r="R743" s="175"/>
      <c r="S743" s="175"/>
    </row>
    <row r="744" spans="1:19" ht="14.25" customHeight="1">
      <c r="A744" s="175"/>
      <c r="B744" s="175"/>
      <c r="C744" s="175"/>
      <c r="D744" s="175"/>
      <c r="E744" s="175"/>
      <c r="F744" s="175"/>
      <c r="G744" s="175"/>
      <c r="H744" s="175"/>
      <c r="I744" s="175"/>
      <c r="J744" s="175"/>
      <c r="K744" s="175"/>
      <c r="L744" s="175"/>
      <c r="M744" s="175"/>
      <c r="N744" s="175"/>
      <c r="O744" s="175"/>
      <c r="P744" s="175"/>
      <c r="Q744" s="175"/>
      <c r="R744" s="175"/>
      <c r="S744" s="175"/>
    </row>
    <row r="745" spans="1:19" ht="14.25" customHeight="1">
      <c r="A745" s="175"/>
      <c r="B745" s="175"/>
      <c r="C745" s="175"/>
      <c r="D745" s="175"/>
      <c r="E745" s="175"/>
      <c r="F745" s="175"/>
      <c r="G745" s="175"/>
      <c r="H745" s="175"/>
      <c r="I745" s="175"/>
      <c r="J745" s="175"/>
      <c r="K745" s="175"/>
      <c r="L745" s="175"/>
      <c r="M745" s="175"/>
      <c r="N745" s="175"/>
      <c r="O745" s="175"/>
      <c r="P745" s="175"/>
      <c r="Q745" s="175"/>
      <c r="R745" s="175"/>
      <c r="S745" s="175"/>
    </row>
    <row r="746" spans="1:19" ht="14.25" customHeight="1">
      <c r="A746" s="175"/>
      <c r="B746" s="175"/>
      <c r="C746" s="175"/>
      <c r="D746" s="175"/>
      <c r="E746" s="175"/>
      <c r="F746" s="175"/>
      <c r="G746" s="175"/>
      <c r="H746" s="175"/>
      <c r="I746" s="175"/>
      <c r="J746" s="175"/>
      <c r="K746" s="175"/>
      <c r="L746" s="175"/>
      <c r="M746" s="175"/>
      <c r="N746" s="175"/>
      <c r="O746" s="175"/>
      <c r="P746" s="175"/>
      <c r="Q746" s="175"/>
      <c r="R746" s="175"/>
      <c r="S746" s="175"/>
    </row>
    <row r="747" spans="1:19" ht="14.25" customHeight="1">
      <c r="A747" s="175"/>
      <c r="B747" s="175"/>
      <c r="C747" s="175"/>
      <c r="D747" s="175"/>
      <c r="E747" s="175"/>
      <c r="F747" s="175"/>
      <c r="G747" s="175"/>
      <c r="H747" s="175"/>
      <c r="I747" s="175"/>
      <c r="J747" s="175"/>
      <c r="K747" s="175"/>
      <c r="L747" s="175"/>
      <c r="M747" s="175"/>
      <c r="N747" s="175"/>
      <c r="O747" s="175"/>
      <c r="P747" s="175"/>
      <c r="Q747" s="175"/>
      <c r="R747" s="175"/>
      <c r="S747" s="175"/>
    </row>
    <row r="748" spans="1:19" ht="14.25" customHeight="1">
      <c r="A748" s="175"/>
      <c r="B748" s="175"/>
      <c r="C748" s="175"/>
      <c r="D748" s="175"/>
      <c r="E748" s="175"/>
      <c r="F748" s="175"/>
      <c r="G748" s="175"/>
      <c r="H748" s="175"/>
      <c r="I748" s="175"/>
      <c r="J748" s="175"/>
      <c r="K748" s="175"/>
      <c r="L748" s="175"/>
      <c r="M748" s="175"/>
      <c r="N748" s="175"/>
      <c r="O748" s="175"/>
      <c r="P748" s="175"/>
      <c r="Q748" s="175"/>
      <c r="R748" s="175"/>
      <c r="S748" s="175"/>
    </row>
    <row r="749" spans="1:19" ht="14.25" customHeight="1">
      <c r="A749" s="175"/>
      <c r="B749" s="175"/>
      <c r="C749" s="175"/>
      <c r="D749" s="175"/>
      <c r="E749" s="175"/>
      <c r="F749" s="175"/>
      <c r="G749" s="175"/>
      <c r="H749" s="175"/>
      <c r="I749" s="175"/>
      <c r="J749" s="175"/>
      <c r="K749" s="175"/>
      <c r="L749" s="175"/>
      <c r="M749" s="175"/>
      <c r="N749" s="175"/>
      <c r="O749" s="175"/>
      <c r="P749" s="175"/>
      <c r="Q749" s="175"/>
      <c r="R749" s="175"/>
      <c r="S749" s="175"/>
    </row>
    <row r="750" spans="1:19" ht="14.25" customHeight="1">
      <c r="A750" s="175"/>
      <c r="B750" s="175"/>
      <c r="C750" s="175"/>
      <c r="D750" s="175"/>
      <c r="E750" s="175"/>
      <c r="F750" s="175"/>
      <c r="G750" s="175"/>
      <c r="H750" s="175"/>
      <c r="I750" s="175"/>
      <c r="J750" s="175"/>
      <c r="K750" s="175"/>
      <c r="L750" s="175"/>
      <c r="M750" s="175"/>
      <c r="N750" s="175"/>
      <c r="O750" s="175"/>
      <c r="P750" s="175"/>
      <c r="Q750" s="175"/>
      <c r="R750" s="175"/>
      <c r="S750" s="175"/>
    </row>
    <row r="751" spans="1:19" ht="14.25" customHeight="1">
      <c r="A751" s="175"/>
      <c r="B751" s="175"/>
      <c r="C751" s="175"/>
      <c r="D751" s="175"/>
      <c r="E751" s="175"/>
      <c r="F751" s="175"/>
      <c r="G751" s="175"/>
      <c r="H751" s="175"/>
      <c r="I751" s="175"/>
      <c r="J751" s="175"/>
      <c r="K751" s="175"/>
      <c r="L751" s="175"/>
      <c r="M751" s="175"/>
      <c r="N751" s="175"/>
      <c r="O751" s="175"/>
      <c r="P751" s="175"/>
      <c r="Q751" s="175"/>
      <c r="R751" s="175"/>
      <c r="S751" s="175"/>
    </row>
    <row r="752" spans="1:19" ht="14.25" customHeight="1">
      <c r="A752" s="175"/>
      <c r="B752" s="175"/>
      <c r="C752" s="175"/>
      <c r="D752" s="175"/>
      <c r="E752" s="175"/>
      <c r="F752" s="175"/>
      <c r="G752" s="175"/>
      <c r="H752" s="175"/>
      <c r="I752" s="175"/>
      <c r="J752" s="175"/>
      <c r="K752" s="175"/>
      <c r="L752" s="175"/>
      <c r="M752" s="175"/>
      <c r="N752" s="175"/>
      <c r="O752" s="175"/>
      <c r="P752" s="175"/>
      <c r="Q752" s="175"/>
      <c r="R752" s="175"/>
      <c r="S752" s="175"/>
    </row>
    <row r="753" spans="1:19" ht="14.25" customHeight="1">
      <c r="A753" s="175"/>
      <c r="B753" s="175"/>
      <c r="C753" s="175"/>
      <c r="D753" s="175"/>
      <c r="E753" s="175"/>
      <c r="F753" s="175"/>
      <c r="G753" s="175"/>
      <c r="H753" s="175"/>
      <c r="I753" s="175"/>
      <c r="J753" s="175"/>
      <c r="K753" s="175"/>
      <c r="L753" s="175"/>
      <c r="M753" s="175"/>
      <c r="N753" s="175"/>
      <c r="O753" s="175"/>
      <c r="P753" s="175"/>
      <c r="Q753" s="175"/>
      <c r="R753" s="175"/>
      <c r="S753" s="175"/>
    </row>
    <row r="754" spans="1:19" ht="14.25" customHeight="1">
      <c r="A754" s="175"/>
      <c r="B754" s="175"/>
      <c r="C754" s="175"/>
      <c r="D754" s="175"/>
      <c r="E754" s="175"/>
      <c r="F754" s="175"/>
      <c r="G754" s="175"/>
      <c r="H754" s="175"/>
      <c r="I754" s="175"/>
      <c r="J754" s="175"/>
      <c r="K754" s="175"/>
      <c r="L754" s="175"/>
      <c r="M754" s="175"/>
      <c r="N754" s="175"/>
      <c r="O754" s="175"/>
      <c r="P754" s="175"/>
      <c r="Q754" s="175"/>
      <c r="R754" s="175"/>
      <c r="S754" s="175"/>
    </row>
    <row r="755" spans="1:19" ht="14.25" customHeight="1">
      <c r="A755" s="175"/>
      <c r="B755" s="175"/>
      <c r="C755" s="175"/>
      <c r="D755" s="175"/>
      <c r="E755" s="175"/>
      <c r="F755" s="175"/>
      <c r="G755" s="175"/>
      <c r="H755" s="175"/>
      <c r="I755" s="175"/>
      <c r="J755" s="175"/>
      <c r="K755" s="175"/>
      <c r="L755" s="175"/>
      <c r="M755" s="175"/>
      <c r="N755" s="175"/>
      <c r="O755" s="175"/>
      <c r="P755" s="175"/>
      <c r="Q755" s="175"/>
      <c r="R755" s="175"/>
      <c r="S755" s="175"/>
    </row>
    <row r="756" spans="1:19" ht="14.25" customHeight="1">
      <c r="A756" s="175"/>
      <c r="B756" s="175"/>
      <c r="C756" s="175"/>
      <c r="D756" s="175"/>
      <c r="E756" s="175"/>
      <c r="F756" s="175"/>
      <c r="G756" s="175"/>
      <c r="H756" s="175"/>
      <c r="I756" s="175"/>
      <c r="J756" s="175"/>
      <c r="K756" s="175"/>
      <c r="L756" s="175"/>
      <c r="M756" s="175"/>
      <c r="N756" s="175"/>
      <c r="O756" s="175"/>
      <c r="P756" s="175"/>
      <c r="Q756" s="175"/>
      <c r="R756" s="175"/>
      <c r="S756" s="175"/>
    </row>
    <row r="757" spans="1:19" ht="14.25" customHeight="1">
      <c r="A757" s="175"/>
      <c r="B757" s="175"/>
      <c r="C757" s="175"/>
      <c r="D757" s="175"/>
      <c r="E757" s="175"/>
      <c r="F757" s="175"/>
      <c r="G757" s="175"/>
      <c r="H757" s="175"/>
      <c r="I757" s="175"/>
      <c r="J757" s="175"/>
      <c r="K757" s="175"/>
      <c r="L757" s="175"/>
      <c r="M757" s="175"/>
      <c r="N757" s="175"/>
      <c r="O757" s="175"/>
      <c r="P757" s="175"/>
      <c r="Q757" s="175"/>
      <c r="R757" s="175"/>
      <c r="S757" s="175"/>
    </row>
    <row r="758" spans="1:19" ht="14.25" customHeight="1">
      <c r="A758" s="175"/>
      <c r="B758" s="175"/>
      <c r="C758" s="175"/>
      <c r="D758" s="175"/>
      <c r="E758" s="175"/>
      <c r="F758" s="175"/>
      <c r="G758" s="175"/>
      <c r="H758" s="175"/>
      <c r="I758" s="175"/>
      <c r="J758" s="175"/>
      <c r="K758" s="175"/>
      <c r="L758" s="175"/>
      <c r="M758" s="175"/>
      <c r="N758" s="175"/>
      <c r="O758" s="175"/>
      <c r="P758" s="175"/>
      <c r="Q758" s="175"/>
      <c r="R758" s="175"/>
      <c r="S758" s="175"/>
    </row>
    <row r="759" spans="1:19" ht="14.25" customHeight="1">
      <c r="A759" s="175"/>
      <c r="B759" s="175"/>
      <c r="C759" s="175"/>
      <c r="D759" s="175"/>
      <c r="E759" s="175"/>
      <c r="F759" s="175"/>
      <c r="G759" s="175"/>
      <c r="H759" s="175"/>
      <c r="I759" s="175"/>
      <c r="J759" s="175"/>
      <c r="K759" s="175"/>
      <c r="L759" s="175"/>
      <c r="M759" s="175"/>
      <c r="N759" s="175"/>
      <c r="O759" s="175"/>
      <c r="P759" s="175"/>
      <c r="Q759" s="175"/>
      <c r="R759" s="175"/>
      <c r="S759" s="175"/>
    </row>
    <row r="760" spans="1:19" ht="14.25" customHeight="1">
      <c r="A760" s="175"/>
      <c r="B760" s="175"/>
      <c r="C760" s="175"/>
      <c r="D760" s="175"/>
      <c r="E760" s="175"/>
      <c r="F760" s="175"/>
      <c r="G760" s="175"/>
      <c r="H760" s="175"/>
      <c r="I760" s="175"/>
      <c r="J760" s="175"/>
      <c r="K760" s="175"/>
      <c r="L760" s="175"/>
      <c r="M760" s="175"/>
      <c r="N760" s="175"/>
      <c r="O760" s="175"/>
      <c r="P760" s="175"/>
      <c r="Q760" s="175"/>
      <c r="R760" s="175"/>
      <c r="S760" s="175"/>
    </row>
    <row r="761" spans="1:19" ht="14.25" customHeight="1">
      <c r="A761" s="175"/>
      <c r="B761" s="175"/>
      <c r="C761" s="175"/>
      <c r="D761" s="175"/>
      <c r="E761" s="175"/>
      <c r="F761" s="175"/>
      <c r="G761" s="175"/>
      <c r="H761" s="175"/>
      <c r="I761" s="175"/>
      <c r="J761" s="175"/>
      <c r="K761" s="175"/>
      <c r="L761" s="175"/>
      <c r="M761" s="175"/>
      <c r="N761" s="175"/>
      <c r="O761" s="175"/>
      <c r="P761" s="175"/>
      <c r="Q761" s="175"/>
      <c r="R761" s="175"/>
      <c r="S761" s="175"/>
    </row>
    <row r="762" spans="1:19" ht="14.25" customHeight="1">
      <c r="A762" s="175"/>
      <c r="B762" s="175"/>
      <c r="C762" s="175"/>
      <c r="D762" s="175"/>
      <c r="E762" s="175"/>
      <c r="F762" s="175"/>
      <c r="G762" s="175"/>
      <c r="H762" s="175"/>
      <c r="I762" s="175"/>
      <c r="J762" s="175"/>
      <c r="K762" s="175"/>
      <c r="L762" s="175"/>
      <c r="M762" s="175"/>
      <c r="N762" s="175"/>
      <c r="O762" s="175"/>
      <c r="P762" s="175"/>
      <c r="Q762" s="175"/>
      <c r="R762" s="175"/>
      <c r="S762" s="175"/>
    </row>
    <row r="763" spans="1:19" ht="14.25" customHeight="1">
      <c r="A763" s="175"/>
      <c r="B763" s="175"/>
      <c r="C763" s="175"/>
      <c r="D763" s="175"/>
      <c r="E763" s="175"/>
      <c r="F763" s="175"/>
      <c r="G763" s="175"/>
      <c r="H763" s="175"/>
      <c r="I763" s="175"/>
      <c r="J763" s="175"/>
      <c r="K763" s="175"/>
      <c r="L763" s="175"/>
      <c r="M763" s="175"/>
      <c r="N763" s="175"/>
      <c r="O763" s="175"/>
      <c r="P763" s="175"/>
      <c r="Q763" s="175"/>
      <c r="R763" s="175"/>
      <c r="S763" s="175"/>
    </row>
    <row r="764" spans="1:19" ht="14.25" customHeight="1">
      <c r="A764" s="175"/>
      <c r="B764" s="175"/>
      <c r="C764" s="175"/>
      <c r="D764" s="175"/>
      <c r="E764" s="175"/>
      <c r="F764" s="175"/>
      <c r="G764" s="175"/>
      <c r="H764" s="175"/>
      <c r="I764" s="175"/>
      <c r="J764" s="175"/>
      <c r="K764" s="175"/>
      <c r="L764" s="175"/>
      <c r="M764" s="175"/>
      <c r="N764" s="175"/>
      <c r="O764" s="175"/>
      <c r="P764" s="175"/>
      <c r="Q764" s="175"/>
      <c r="R764" s="175"/>
      <c r="S764" s="175"/>
    </row>
    <row r="765" spans="1:19" ht="14.25" customHeight="1">
      <c r="A765" s="175"/>
      <c r="B765" s="175"/>
      <c r="C765" s="175"/>
      <c r="D765" s="175"/>
      <c r="E765" s="175"/>
      <c r="F765" s="175"/>
      <c r="G765" s="175"/>
      <c r="H765" s="175"/>
      <c r="I765" s="175"/>
      <c r="J765" s="175"/>
      <c r="K765" s="175"/>
      <c r="L765" s="175"/>
      <c r="M765" s="175"/>
      <c r="N765" s="175"/>
      <c r="O765" s="175"/>
      <c r="P765" s="175"/>
      <c r="Q765" s="175"/>
      <c r="R765" s="175"/>
      <c r="S765" s="175"/>
    </row>
    <row r="766" spans="1:19" ht="14.25" customHeight="1">
      <c r="A766" s="175"/>
      <c r="B766" s="175"/>
      <c r="C766" s="175"/>
      <c r="D766" s="175"/>
      <c r="E766" s="175"/>
      <c r="F766" s="175"/>
      <c r="G766" s="175"/>
      <c r="H766" s="175"/>
      <c r="I766" s="175"/>
      <c r="J766" s="175"/>
      <c r="K766" s="175"/>
      <c r="L766" s="175"/>
      <c r="M766" s="175"/>
      <c r="N766" s="175"/>
      <c r="O766" s="175"/>
      <c r="P766" s="175"/>
      <c r="Q766" s="175"/>
      <c r="R766" s="175"/>
      <c r="S766" s="175"/>
    </row>
    <row r="767" spans="1:19" ht="14.25" customHeight="1">
      <c r="A767" s="175"/>
      <c r="B767" s="175"/>
      <c r="C767" s="175"/>
      <c r="D767" s="175"/>
      <c r="E767" s="175"/>
      <c r="F767" s="175"/>
      <c r="G767" s="175"/>
      <c r="H767" s="175"/>
      <c r="I767" s="175"/>
      <c r="J767" s="175"/>
      <c r="K767" s="175"/>
      <c r="L767" s="175"/>
      <c r="M767" s="175"/>
      <c r="N767" s="175"/>
      <c r="O767" s="175"/>
      <c r="P767" s="175"/>
      <c r="Q767" s="175"/>
      <c r="R767" s="175"/>
      <c r="S767" s="175"/>
    </row>
    <row r="768" spans="1:19" ht="14.25" customHeight="1">
      <c r="A768" s="175"/>
      <c r="B768" s="175"/>
      <c r="C768" s="175"/>
      <c r="D768" s="175"/>
      <c r="E768" s="175"/>
      <c r="F768" s="175"/>
      <c r="G768" s="175"/>
      <c r="H768" s="175"/>
      <c r="I768" s="175"/>
      <c r="J768" s="175"/>
      <c r="K768" s="175"/>
      <c r="L768" s="175"/>
      <c r="M768" s="175"/>
      <c r="N768" s="175"/>
      <c r="O768" s="175"/>
      <c r="P768" s="175"/>
      <c r="Q768" s="175"/>
      <c r="R768" s="175"/>
      <c r="S768" s="175"/>
    </row>
    <row r="769" spans="1:19" ht="14.25" customHeight="1">
      <c r="A769" s="175"/>
      <c r="B769" s="175"/>
      <c r="C769" s="175"/>
      <c r="D769" s="175"/>
      <c r="E769" s="175"/>
      <c r="F769" s="175"/>
      <c r="G769" s="175"/>
      <c r="H769" s="175"/>
      <c r="I769" s="175"/>
      <c r="J769" s="175"/>
      <c r="K769" s="175"/>
      <c r="L769" s="175"/>
      <c r="M769" s="175"/>
      <c r="N769" s="175"/>
      <c r="O769" s="175"/>
      <c r="P769" s="175"/>
      <c r="Q769" s="175"/>
      <c r="R769" s="175"/>
      <c r="S769" s="175"/>
    </row>
    <row r="770" spans="1:19" ht="14.25" customHeight="1">
      <c r="A770" s="175"/>
      <c r="B770" s="175"/>
      <c r="C770" s="175"/>
      <c r="D770" s="175"/>
      <c r="E770" s="175"/>
      <c r="F770" s="175"/>
      <c r="G770" s="175"/>
      <c r="H770" s="175"/>
      <c r="I770" s="175"/>
      <c r="J770" s="175"/>
      <c r="K770" s="175"/>
      <c r="L770" s="175"/>
      <c r="M770" s="175"/>
      <c r="N770" s="175"/>
      <c r="O770" s="175"/>
      <c r="P770" s="175"/>
      <c r="Q770" s="175"/>
      <c r="R770" s="175"/>
      <c r="S770" s="175"/>
    </row>
    <row r="771" spans="1:19" ht="14.25" customHeight="1">
      <c r="A771" s="175"/>
      <c r="B771" s="175"/>
      <c r="C771" s="175"/>
      <c r="D771" s="175"/>
      <c r="E771" s="175"/>
      <c r="F771" s="175"/>
      <c r="G771" s="175"/>
      <c r="H771" s="175"/>
      <c r="I771" s="175"/>
      <c r="J771" s="175"/>
      <c r="K771" s="175"/>
      <c r="L771" s="175"/>
      <c r="M771" s="175"/>
      <c r="N771" s="175"/>
      <c r="O771" s="175"/>
      <c r="P771" s="175"/>
      <c r="Q771" s="175"/>
      <c r="R771" s="175"/>
      <c r="S771" s="175"/>
    </row>
    <row r="772" spans="1:19" ht="14.25" customHeight="1">
      <c r="A772" s="175"/>
      <c r="B772" s="175"/>
      <c r="C772" s="175"/>
      <c r="D772" s="175"/>
      <c r="E772" s="175"/>
      <c r="F772" s="175"/>
      <c r="G772" s="175"/>
      <c r="H772" s="175"/>
      <c r="I772" s="175"/>
      <c r="J772" s="175"/>
      <c r="K772" s="175"/>
      <c r="L772" s="175"/>
      <c r="M772" s="175"/>
      <c r="N772" s="175"/>
      <c r="O772" s="175"/>
      <c r="P772" s="175"/>
      <c r="Q772" s="175"/>
      <c r="R772" s="175"/>
      <c r="S772" s="175"/>
    </row>
    <row r="773" spans="1:19" ht="14.25" customHeight="1">
      <c r="A773" s="175"/>
      <c r="B773" s="175"/>
      <c r="C773" s="175"/>
      <c r="D773" s="175"/>
      <c r="E773" s="175"/>
      <c r="F773" s="175"/>
      <c r="G773" s="175"/>
      <c r="H773" s="175"/>
      <c r="I773" s="175"/>
      <c r="J773" s="175"/>
      <c r="K773" s="175"/>
      <c r="L773" s="175"/>
      <c r="M773" s="175"/>
      <c r="N773" s="175"/>
      <c r="O773" s="175"/>
      <c r="P773" s="175"/>
      <c r="Q773" s="175"/>
      <c r="R773" s="175"/>
      <c r="S773" s="175"/>
    </row>
    <row r="774" spans="1:19" ht="14.25" customHeight="1">
      <c r="A774" s="175"/>
      <c r="B774" s="175"/>
      <c r="C774" s="175"/>
      <c r="D774" s="175"/>
      <c r="E774" s="175"/>
      <c r="F774" s="175"/>
      <c r="G774" s="175"/>
      <c r="H774" s="175"/>
      <c r="I774" s="175"/>
      <c r="J774" s="175"/>
      <c r="K774" s="175"/>
      <c r="L774" s="175"/>
      <c r="M774" s="175"/>
      <c r="N774" s="175"/>
      <c r="O774" s="175"/>
      <c r="P774" s="175"/>
      <c r="Q774" s="175"/>
      <c r="R774" s="175"/>
      <c r="S774" s="175"/>
    </row>
    <row r="775" spans="1:19" ht="14.25" customHeight="1">
      <c r="A775" s="175"/>
      <c r="B775" s="175"/>
      <c r="C775" s="175"/>
      <c r="D775" s="175"/>
      <c r="E775" s="175"/>
      <c r="F775" s="175"/>
      <c r="G775" s="175"/>
      <c r="H775" s="175"/>
      <c r="I775" s="175"/>
      <c r="J775" s="175"/>
      <c r="K775" s="175"/>
      <c r="L775" s="175"/>
      <c r="M775" s="175"/>
      <c r="N775" s="175"/>
      <c r="O775" s="175"/>
      <c r="P775" s="175"/>
      <c r="Q775" s="175"/>
      <c r="R775" s="175"/>
      <c r="S775" s="175"/>
    </row>
    <row r="776" spans="1:19" ht="14.25" customHeight="1">
      <c r="A776" s="175"/>
      <c r="B776" s="175"/>
      <c r="C776" s="175"/>
      <c r="D776" s="175"/>
      <c r="E776" s="175"/>
      <c r="F776" s="175"/>
      <c r="G776" s="175"/>
      <c r="H776" s="175"/>
      <c r="I776" s="175"/>
      <c r="J776" s="175"/>
      <c r="K776" s="175"/>
      <c r="L776" s="175"/>
      <c r="M776" s="175"/>
      <c r="N776" s="175"/>
      <c r="O776" s="175"/>
      <c r="P776" s="175"/>
      <c r="Q776" s="175"/>
      <c r="R776" s="175"/>
      <c r="S776" s="175"/>
    </row>
    <row r="777" spans="1:19" ht="14.25" customHeight="1">
      <c r="A777" s="175"/>
      <c r="B777" s="175"/>
      <c r="C777" s="175"/>
      <c r="D777" s="175"/>
      <c r="E777" s="175"/>
      <c r="F777" s="175"/>
      <c r="G777" s="175"/>
      <c r="H777" s="175"/>
      <c r="I777" s="175"/>
      <c r="J777" s="175"/>
      <c r="K777" s="175"/>
      <c r="L777" s="175"/>
      <c r="M777" s="175"/>
      <c r="N777" s="175"/>
      <c r="O777" s="175"/>
      <c r="P777" s="175"/>
      <c r="Q777" s="175"/>
      <c r="R777" s="175"/>
      <c r="S777" s="175"/>
    </row>
    <row r="778" spans="1:19" ht="14.25" customHeight="1">
      <c r="A778" s="175"/>
      <c r="B778" s="175"/>
      <c r="C778" s="175"/>
      <c r="D778" s="175"/>
      <c r="E778" s="175"/>
      <c r="F778" s="175"/>
      <c r="G778" s="175"/>
      <c r="H778" s="175"/>
      <c r="I778" s="175"/>
      <c r="J778" s="175"/>
      <c r="K778" s="175"/>
      <c r="L778" s="175"/>
      <c r="M778" s="175"/>
      <c r="N778" s="175"/>
      <c r="O778" s="175"/>
      <c r="P778" s="175"/>
      <c r="Q778" s="175"/>
      <c r="R778" s="175"/>
      <c r="S778" s="175"/>
    </row>
    <row r="779" spans="1:19" ht="14.25" customHeight="1">
      <c r="A779" s="175"/>
      <c r="B779" s="175"/>
      <c r="C779" s="175"/>
      <c r="D779" s="175"/>
      <c r="E779" s="175"/>
      <c r="F779" s="175"/>
      <c r="G779" s="175"/>
      <c r="H779" s="175"/>
      <c r="I779" s="175"/>
      <c r="J779" s="175"/>
      <c r="K779" s="175"/>
      <c r="L779" s="175"/>
      <c r="M779" s="175"/>
      <c r="N779" s="175"/>
      <c r="O779" s="175"/>
      <c r="P779" s="175"/>
      <c r="Q779" s="175"/>
      <c r="R779" s="175"/>
      <c r="S779" s="175"/>
    </row>
    <row r="780" spans="1:19" ht="14.25" customHeight="1">
      <c r="A780" s="175"/>
      <c r="B780" s="175"/>
      <c r="C780" s="175"/>
      <c r="D780" s="175"/>
      <c r="E780" s="175"/>
      <c r="F780" s="175"/>
      <c r="G780" s="175"/>
      <c r="H780" s="175"/>
      <c r="I780" s="175"/>
      <c r="J780" s="175"/>
      <c r="K780" s="175"/>
      <c r="L780" s="175"/>
      <c r="M780" s="175"/>
      <c r="N780" s="175"/>
      <c r="O780" s="175"/>
      <c r="P780" s="175"/>
      <c r="Q780" s="175"/>
      <c r="R780" s="175"/>
      <c r="S780" s="175"/>
    </row>
    <row r="781" spans="1:19" ht="14.25" customHeight="1">
      <c r="A781" s="175"/>
      <c r="B781" s="175"/>
      <c r="C781" s="175"/>
      <c r="D781" s="175"/>
      <c r="E781" s="175"/>
      <c r="F781" s="175"/>
      <c r="G781" s="175"/>
      <c r="H781" s="175"/>
      <c r="I781" s="175"/>
      <c r="J781" s="175"/>
      <c r="K781" s="175"/>
      <c r="L781" s="175"/>
      <c r="M781" s="175"/>
      <c r="N781" s="175"/>
      <c r="O781" s="175"/>
      <c r="P781" s="175"/>
      <c r="Q781" s="175"/>
      <c r="R781" s="175"/>
      <c r="S781" s="175"/>
    </row>
    <row r="782" spans="1:19" ht="14.25" customHeight="1">
      <c r="A782" s="175"/>
      <c r="B782" s="175"/>
      <c r="C782" s="175"/>
      <c r="D782" s="175"/>
      <c r="E782" s="175"/>
      <c r="F782" s="175"/>
      <c r="G782" s="175"/>
      <c r="H782" s="175"/>
      <c r="I782" s="175"/>
      <c r="J782" s="175"/>
      <c r="K782" s="175"/>
      <c r="L782" s="175"/>
      <c r="M782" s="175"/>
      <c r="N782" s="175"/>
      <c r="O782" s="175"/>
      <c r="P782" s="175"/>
      <c r="Q782" s="175"/>
      <c r="R782" s="175"/>
      <c r="S782" s="175"/>
    </row>
    <row r="783" spans="1:19" ht="14.25" customHeight="1">
      <c r="A783" s="175"/>
      <c r="B783" s="175"/>
      <c r="C783" s="175"/>
      <c r="D783" s="175"/>
      <c r="E783" s="175"/>
      <c r="F783" s="175"/>
      <c r="G783" s="175"/>
      <c r="H783" s="175"/>
      <c r="I783" s="175"/>
      <c r="J783" s="175"/>
      <c r="K783" s="175"/>
      <c r="L783" s="175"/>
      <c r="M783" s="175"/>
      <c r="N783" s="175"/>
      <c r="O783" s="175"/>
      <c r="P783" s="175"/>
      <c r="Q783" s="175"/>
      <c r="R783" s="175"/>
      <c r="S783" s="175"/>
    </row>
    <row r="784" spans="1:19" ht="14.25" customHeight="1">
      <c r="A784" s="175"/>
      <c r="B784" s="175"/>
      <c r="C784" s="175"/>
      <c r="D784" s="175"/>
      <c r="E784" s="175"/>
      <c r="F784" s="175"/>
      <c r="G784" s="175"/>
      <c r="H784" s="175"/>
      <c r="I784" s="175"/>
      <c r="J784" s="175"/>
      <c r="K784" s="175"/>
      <c r="L784" s="175"/>
      <c r="M784" s="175"/>
      <c r="N784" s="175"/>
      <c r="O784" s="175"/>
      <c r="P784" s="175"/>
      <c r="Q784" s="175"/>
      <c r="R784" s="175"/>
      <c r="S784" s="175"/>
    </row>
    <row r="785" spans="1:19" ht="14.25" customHeight="1">
      <c r="A785" s="175"/>
      <c r="B785" s="175"/>
      <c r="C785" s="175"/>
      <c r="D785" s="175"/>
      <c r="E785" s="175"/>
      <c r="F785" s="175"/>
      <c r="G785" s="175"/>
      <c r="H785" s="175"/>
      <c r="I785" s="175"/>
      <c r="J785" s="175"/>
      <c r="K785" s="175"/>
      <c r="L785" s="175"/>
      <c r="M785" s="175"/>
      <c r="N785" s="175"/>
      <c r="O785" s="175"/>
      <c r="P785" s="175"/>
      <c r="Q785" s="175"/>
      <c r="R785" s="175"/>
      <c r="S785" s="175"/>
    </row>
    <row r="786" spans="1:19" ht="14.25" customHeight="1">
      <c r="A786" s="175"/>
      <c r="B786" s="175"/>
      <c r="C786" s="175"/>
      <c r="D786" s="175"/>
      <c r="E786" s="175"/>
      <c r="F786" s="175"/>
      <c r="G786" s="175"/>
      <c r="H786" s="175"/>
      <c r="I786" s="175"/>
      <c r="J786" s="175"/>
      <c r="K786" s="175"/>
      <c r="L786" s="175"/>
      <c r="M786" s="175"/>
      <c r="N786" s="175"/>
      <c r="O786" s="175"/>
      <c r="P786" s="175"/>
      <c r="Q786" s="175"/>
      <c r="R786" s="175"/>
      <c r="S786" s="175"/>
    </row>
    <row r="787" spans="1:19" ht="14.25" customHeight="1">
      <c r="A787" s="175"/>
      <c r="B787" s="175"/>
      <c r="C787" s="175"/>
      <c r="D787" s="175"/>
      <c r="E787" s="175"/>
      <c r="F787" s="175"/>
      <c r="G787" s="175"/>
      <c r="H787" s="175"/>
      <c r="I787" s="175"/>
      <c r="J787" s="175"/>
      <c r="K787" s="175"/>
      <c r="L787" s="175"/>
      <c r="M787" s="175"/>
      <c r="N787" s="175"/>
      <c r="O787" s="175"/>
      <c r="P787" s="175"/>
      <c r="Q787" s="175"/>
      <c r="R787" s="175"/>
      <c r="S787" s="175"/>
    </row>
    <row r="788" spans="1:19" ht="14.25" customHeight="1">
      <c r="A788" s="175"/>
      <c r="B788" s="175"/>
      <c r="C788" s="175"/>
      <c r="D788" s="175"/>
      <c r="E788" s="175"/>
      <c r="F788" s="175"/>
      <c r="G788" s="175"/>
      <c r="H788" s="175"/>
      <c r="I788" s="175"/>
      <c r="J788" s="175"/>
      <c r="K788" s="175"/>
      <c r="L788" s="175"/>
      <c r="M788" s="175"/>
      <c r="N788" s="175"/>
      <c r="O788" s="175"/>
      <c r="P788" s="175"/>
      <c r="Q788" s="175"/>
      <c r="R788" s="175"/>
      <c r="S788" s="175"/>
    </row>
    <row r="789" spans="1:19" ht="14.25" customHeight="1">
      <c r="A789" s="175"/>
      <c r="B789" s="175"/>
      <c r="C789" s="175"/>
      <c r="D789" s="175"/>
      <c r="E789" s="175"/>
      <c r="F789" s="175"/>
      <c r="G789" s="175"/>
      <c r="H789" s="175"/>
      <c r="I789" s="175"/>
      <c r="J789" s="175"/>
      <c r="K789" s="175"/>
      <c r="L789" s="175"/>
      <c r="M789" s="175"/>
      <c r="N789" s="175"/>
      <c r="O789" s="175"/>
      <c r="P789" s="175"/>
      <c r="Q789" s="175"/>
      <c r="R789" s="175"/>
      <c r="S789" s="175"/>
    </row>
    <row r="790" spans="1:19" ht="14.25" customHeight="1">
      <c r="A790" s="175"/>
      <c r="B790" s="175"/>
      <c r="C790" s="175"/>
      <c r="D790" s="175"/>
      <c r="E790" s="175"/>
      <c r="F790" s="175"/>
      <c r="G790" s="175"/>
      <c r="H790" s="175"/>
      <c r="I790" s="175"/>
      <c r="J790" s="175"/>
      <c r="K790" s="175"/>
      <c r="L790" s="175"/>
      <c r="M790" s="175"/>
      <c r="N790" s="175"/>
      <c r="O790" s="175"/>
      <c r="P790" s="175"/>
      <c r="Q790" s="175"/>
      <c r="R790" s="175"/>
      <c r="S790" s="175"/>
    </row>
    <row r="791" spans="1:19" ht="14.25" customHeight="1">
      <c r="A791" s="175"/>
      <c r="B791" s="175"/>
      <c r="C791" s="175"/>
      <c r="D791" s="175"/>
      <c r="E791" s="175"/>
      <c r="F791" s="175"/>
      <c r="G791" s="175"/>
      <c r="H791" s="175"/>
      <c r="I791" s="175"/>
      <c r="J791" s="175"/>
      <c r="K791" s="175"/>
      <c r="L791" s="175"/>
      <c r="M791" s="175"/>
      <c r="N791" s="175"/>
      <c r="O791" s="175"/>
      <c r="P791" s="175"/>
      <c r="Q791" s="175"/>
      <c r="R791" s="175"/>
      <c r="S791" s="175"/>
    </row>
    <row r="792" spans="1:19" ht="14.25" customHeight="1">
      <c r="A792" s="175"/>
      <c r="B792" s="175"/>
      <c r="C792" s="175"/>
      <c r="D792" s="175"/>
      <c r="E792" s="175"/>
      <c r="F792" s="175"/>
      <c r="G792" s="175"/>
      <c r="H792" s="175"/>
      <c r="I792" s="175"/>
      <c r="J792" s="175"/>
      <c r="K792" s="175"/>
      <c r="L792" s="175"/>
      <c r="M792" s="175"/>
      <c r="N792" s="175"/>
      <c r="O792" s="175"/>
      <c r="P792" s="175"/>
      <c r="Q792" s="175"/>
      <c r="R792" s="175"/>
      <c r="S792" s="175"/>
    </row>
    <row r="793" spans="1:19" ht="14.25" customHeight="1">
      <c r="A793" s="175"/>
      <c r="B793" s="175"/>
      <c r="C793" s="175"/>
      <c r="D793" s="175"/>
      <c r="E793" s="175"/>
      <c r="F793" s="175"/>
      <c r="G793" s="175"/>
      <c r="H793" s="175"/>
      <c r="I793" s="175"/>
      <c r="J793" s="175"/>
      <c r="K793" s="175"/>
      <c r="L793" s="175"/>
      <c r="M793" s="175"/>
      <c r="N793" s="175"/>
      <c r="O793" s="175"/>
      <c r="P793" s="175"/>
      <c r="Q793" s="175"/>
      <c r="R793" s="175"/>
      <c r="S793" s="175"/>
    </row>
    <row r="794" spans="1:19" ht="14.25" customHeight="1">
      <c r="A794" s="175"/>
      <c r="B794" s="175"/>
      <c r="C794" s="175"/>
      <c r="D794" s="175"/>
      <c r="E794" s="175"/>
      <c r="F794" s="175"/>
      <c r="G794" s="175"/>
      <c r="H794" s="175"/>
      <c r="I794" s="175"/>
      <c r="J794" s="175"/>
      <c r="K794" s="175"/>
      <c r="L794" s="175"/>
      <c r="M794" s="175"/>
      <c r="N794" s="175"/>
      <c r="O794" s="175"/>
      <c r="P794" s="175"/>
      <c r="Q794" s="175"/>
      <c r="R794" s="175"/>
      <c r="S794" s="175"/>
    </row>
    <row r="795" spans="1:19" ht="14.25" customHeight="1">
      <c r="A795" s="175"/>
      <c r="B795" s="175"/>
      <c r="C795" s="175"/>
      <c r="D795" s="175"/>
      <c r="E795" s="175"/>
      <c r="F795" s="175"/>
      <c r="G795" s="175"/>
      <c r="H795" s="175"/>
      <c r="I795" s="175"/>
      <c r="J795" s="175"/>
      <c r="K795" s="175"/>
      <c r="L795" s="175"/>
      <c r="M795" s="175"/>
      <c r="N795" s="175"/>
      <c r="O795" s="175"/>
      <c r="P795" s="175"/>
      <c r="Q795" s="175"/>
      <c r="R795" s="175"/>
      <c r="S795" s="175"/>
    </row>
    <row r="796" spans="1:19" ht="14.25" customHeight="1">
      <c r="A796" s="175"/>
      <c r="B796" s="175"/>
      <c r="C796" s="175"/>
      <c r="D796" s="175"/>
      <c r="E796" s="175"/>
      <c r="F796" s="175"/>
      <c r="G796" s="175"/>
      <c r="H796" s="175"/>
      <c r="I796" s="175"/>
      <c r="J796" s="175"/>
      <c r="K796" s="175"/>
      <c r="L796" s="175"/>
      <c r="M796" s="175"/>
      <c r="N796" s="175"/>
      <c r="O796" s="175"/>
      <c r="P796" s="175"/>
      <c r="Q796" s="175"/>
      <c r="R796" s="175"/>
      <c r="S796" s="175"/>
    </row>
    <row r="797" spans="1:19" ht="14.25" customHeight="1">
      <c r="A797" s="175"/>
      <c r="B797" s="175"/>
      <c r="C797" s="175"/>
      <c r="D797" s="175"/>
      <c r="E797" s="175"/>
      <c r="F797" s="175"/>
      <c r="G797" s="175"/>
      <c r="H797" s="175"/>
      <c r="I797" s="175"/>
      <c r="J797" s="175"/>
      <c r="K797" s="175"/>
      <c r="L797" s="175"/>
      <c r="M797" s="175"/>
      <c r="N797" s="175"/>
      <c r="O797" s="175"/>
      <c r="P797" s="175"/>
      <c r="Q797" s="175"/>
      <c r="R797" s="175"/>
      <c r="S797" s="175"/>
    </row>
    <row r="798" spans="1:19" ht="14.25" customHeight="1">
      <c r="A798" s="175"/>
      <c r="B798" s="175"/>
      <c r="C798" s="175"/>
      <c r="D798" s="175"/>
      <c r="E798" s="175"/>
      <c r="F798" s="175"/>
      <c r="G798" s="175"/>
      <c r="H798" s="175"/>
      <c r="I798" s="175"/>
      <c r="J798" s="175"/>
      <c r="K798" s="175"/>
      <c r="L798" s="175"/>
      <c r="M798" s="175"/>
      <c r="N798" s="175"/>
      <c r="O798" s="175"/>
      <c r="P798" s="175"/>
      <c r="Q798" s="175"/>
      <c r="R798" s="175"/>
      <c r="S798" s="175"/>
    </row>
    <row r="799" spans="1:19" ht="14.25" customHeight="1">
      <c r="A799" s="175"/>
      <c r="B799" s="175"/>
      <c r="C799" s="175"/>
      <c r="D799" s="175"/>
      <c r="E799" s="175"/>
      <c r="F799" s="175"/>
      <c r="G799" s="175"/>
      <c r="H799" s="175"/>
      <c r="I799" s="175"/>
      <c r="J799" s="175"/>
      <c r="K799" s="175"/>
      <c r="L799" s="175"/>
      <c r="M799" s="175"/>
      <c r="N799" s="175"/>
      <c r="O799" s="175"/>
      <c r="P799" s="175"/>
      <c r="Q799" s="175"/>
      <c r="R799" s="175"/>
      <c r="S799" s="175"/>
    </row>
    <row r="800" spans="1:19" ht="14.25" customHeight="1">
      <c r="A800" s="175"/>
      <c r="B800" s="175"/>
      <c r="C800" s="175"/>
      <c r="D800" s="175"/>
      <c r="E800" s="175"/>
      <c r="F800" s="175"/>
      <c r="G800" s="175"/>
      <c r="H800" s="175"/>
      <c r="I800" s="175"/>
      <c r="J800" s="175"/>
      <c r="K800" s="175"/>
      <c r="L800" s="175"/>
      <c r="M800" s="175"/>
      <c r="N800" s="175"/>
      <c r="O800" s="175"/>
      <c r="P800" s="175"/>
      <c r="Q800" s="175"/>
      <c r="R800" s="175"/>
      <c r="S800" s="175"/>
    </row>
    <row r="801" spans="1:19" ht="14.25" customHeight="1">
      <c r="A801" s="175"/>
      <c r="B801" s="175"/>
      <c r="C801" s="175"/>
      <c r="D801" s="175"/>
      <c r="E801" s="175"/>
      <c r="F801" s="175"/>
      <c r="G801" s="175"/>
      <c r="H801" s="175"/>
      <c r="I801" s="175"/>
      <c r="J801" s="175"/>
      <c r="K801" s="175"/>
      <c r="L801" s="175"/>
      <c r="M801" s="175"/>
      <c r="N801" s="175"/>
      <c r="O801" s="175"/>
      <c r="P801" s="175"/>
      <c r="Q801" s="175"/>
      <c r="R801" s="175"/>
      <c r="S801" s="175"/>
    </row>
    <row r="802" spans="1:19" ht="14.25" customHeight="1">
      <c r="A802" s="175"/>
      <c r="B802" s="175"/>
      <c r="C802" s="175"/>
      <c r="D802" s="175"/>
      <c r="E802" s="175"/>
      <c r="F802" s="175"/>
      <c r="G802" s="175"/>
      <c r="H802" s="175"/>
      <c r="I802" s="175"/>
      <c r="J802" s="175"/>
      <c r="K802" s="175"/>
      <c r="L802" s="175"/>
      <c r="M802" s="175"/>
      <c r="N802" s="175"/>
      <c r="O802" s="175"/>
      <c r="P802" s="175"/>
      <c r="Q802" s="175"/>
      <c r="R802" s="175"/>
      <c r="S802" s="175"/>
    </row>
    <row r="803" spans="1:19" ht="14.25" customHeight="1">
      <c r="A803" s="175"/>
      <c r="B803" s="175"/>
      <c r="C803" s="175"/>
      <c r="D803" s="175"/>
      <c r="E803" s="175"/>
      <c r="F803" s="175"/>
      <c r="G803" s="175"/>
      <c r="H803" s="175"/>
      <c r="I803" s="175"/>
      <c r="J803" s="175"/>
      <c r="K803" s="175"/>
      <c r="L803" s="175"/>
      <c r="M803" s="175"/>
      <c r="N803" s="175"/>
      <c r="O803" s="175"/>
      <c r="P803" s="175"/>
      <c r="Q803" s="175"/>
      <c r="R803" s="175"/>
      <c r="S803" s="175"/>
    </row>
    <row r="804" spans="1:19" ht="14.25" customHeight="1">
      <c r="A804" s="175"/>
      <c r="B804" s="175"/>
      <c r="C804" s="175"/>
      <c r="D804" s="175"/>
      <c r="E804" s="175"/>
      <c r="F804" s="175"/>
      <c r="G804" s="175"/>
      <c r="H804" s="175"/>
      <c r="I804" s="175"/>
      <c r="J804" s="175"/>
      <c r="K804" s="175"/>
      <c r="L804" s="175"/>
      <c r="M804" s="175"/>
      <c r="N804" s="175"/>
      <c r="O804" s="175"/>
      <c r="P804" s="175"/>
      <c r="Q804" s="175"/>
      <c r="R804" s="175"/>
      <c r="S804" s="175"/>
    </row>
    <row r="805" spans="1:19" ht="14.25" customHeight="1">
      <c r="A805" s="175"/>
      <c r="B805" s="175"/>
      <c r="C805" s="175"/>
      <c r="D805" s="175"/>
      <c r="E805" s="175"/>
      <c r="F805" s="175"/>
      <c r="G805" s="175"/>
      <c r="H805" s="175"/>
      <c r="I805" s="175"/>
      <c r="J805" s="175"/>
      <c r="K805" s="175"/>
      <c r="L805" s="175"/>
      <c r="M805" s="175"/>
      <c r="N805" s="175"/>
      <c r="O805" s="175"/>
      <c r="P805" s="175"/>
      <c r="Q805" s="175"/>
      <c r="R805" s="175"/>
      <c r="S805" s="175"/>
    </row>
    <row r="806" spans="1:19" ht="14.25" customHeight="1">
      <c r="A806" s="175"/>
      <c r="B806" s="175"/>
      <c r="C806" s="175"/>
      <c r="D806" s="175"/>
      <c r="E806" s="175"/>
      <c r="F806" s="175"/>
      <c r="G806" s="175"/>
      <c r="H806" s="175"/>
      <c r="I806" s="175"/>
      <c r="J806" s="175"/>
      <c r="K806" s="175"/>
      <c r="L806" s="175"/>
      <c r="M806" s="175"/>
      <c r="N806" s="175"/>
      <c r="O806" s="175"/>
      <c r="P806" s="175"/>
      <c r="Q806" s="175"/>
      <c r="R806" s="175"/>
      <c r="S806" s="175"/>
    </row>
    <row r="807" spans="1:19" ht="14.25" customHeight="1">
      <c r="A807" s="175"/>
      <c r="B807" s="175"/>
      <c r="C807" s="175"/>
      <c r="D807" s="175"/>
      <c r="E807" s="175"/>
      <c r="F807" s="175"/>
      <c r="G807" s="175"/>
      <c r="H807" s="175"/>
      <c r="I807" s="175"/>
      <c r="J807" s="175"/>
      <c r="K807" s="175"/>
      <c r="L807" s="175"/>
      <c r="M807" s="175"/>
      <c r="N807" s="175"/>
      <c r="O807" s="175"/>
      <c r="P807" s="175"/>
      <c r="Q807" s="175"/>
      <c r="R807" s="175"/>
      <c r="S807" s="175"/>
    </row>
    <row r="808" spans="1:19" ht="14.25" customHeight="1">
      <c r="A808" s="175"/>
      <c r="B808" s="175"/>
      <c r="C808" s="175"/>
      <c r="D808" s="175"/>
      <c r="E808" s="175"/>
      <c r="F808" s="175"/>
      <c r="G808" s="175"/>
      <c r="H808" s="175"/>
      <c r="I808" s="175"/>
      <c r="J808" s="175"/>
      <c r="K808" s="175"/>
      <c r="L808" s="175"/>
      <c r="M808" s="175"/>
      <c r="N808" s="175"/>
      <c r="O808" s="175"/>
      <c r="P808" s="175"/>
      <c r="Q808" s="175"/>
      <c r="R808" s="175"/>
      <c r="S808" s="175"/>
    </row>
    <row r="809" spans="1:19" ht="14.25" customHeight="1">
      <c r="A809" s="175"/>
      <c r="B809" s="175"/>
      <c r="C809" s="175"/>
      <c r="D809" s="175"/>
      <c r="E809" s="175"/>
      <c r="F809" s="175"/>
      <c r="G809" s="175"/>
      <c r="H809" s="175"/>
      <c r="I809" s="175"/>
      <c r="J809" s="175"/>
      <c r="K809" s="175"/>
      <c r="L809" s="175"/>
      <c r="M809" s="175"/>
      <c r="N809" s="175"/>
      <c r="O809" s="175"/>
      <c r="P809" s="175"/>
      <c r="Q809" s="175"/>
      <c r="R809" s="175"/>
      <c r="S809" s="175"/>
    </row>
    <row r="810" spans="1:19" ht="14.25" customHeight="1">
      <c r="A810" s="175"/>
      <c r="B810" s="175"/>
      <c r="C810" s="175"/>
      <c r="D810" s="175"/>
      <c r="E810" s="175"/>
      <c r="F810" s="175"/>
      <c r="G810" s="175"/>
      <c r="H810" s="175"/>
      <c r="I810" s="175"/>
      <c r="J810" s="175"/>
      <c r="K810" s="175"/>
      <c r="L810" s="175"/>
      <c r="M810" s="175"/>
      <c r="N810" s="175"/>
      <c r="O810" s="175"/>
      <c r="P810" s="175"/>
      <c r="Q810" s="175"/>
      <c r="R810" s="175"/>
      <c r="S810" s="175"/>
    </row>
    <row r="811" spans="1:19" ht="14.25" customHeight="1">
      <c r="A811" s="175"/>
      <c r="B811" s="175"/>
      <c r="C811" s="175"/>
      <c r="D811" s="175"/>
      <c r="E811" s="175"/>
      <c r="F811" s="175"/>
      <c r="G811" s="175"/>
      <c r="H811" s="175"/>
      <c r="I811" s="175"/>
      <c r="J811" s="175"/>
      <c r="K811" s="175"/>
      <c r="L811" s="175"/>
      <c r="M811" s="175"/>
      <c r="N811" s="175"/>
      <c r="O811" s="175"/>
      <c r="P811" s="175"/>
      <c r="Q811" s="175"/>
      <c r="R811" s="175"/>
      <c r="S811" s="175"/>
    </row>
    <row r="812" spans="1:19" ht="14.25" customHeight="1">
      <c r="A812" s="175"/>
      <c r="B812" s="175"/>
      <c r="C812" s="175"/>
      <c r="D812" s="175"/>
      <c r="E812" s="175"/>
      <c r="F812" s="175"/>
      <c r="G812" s="175"/>
      <c r="H812" s="175"/>
      <c r="I812" s="175"/>
      <c r="J812" s="175"/>
      <c r="K812" s="175"/>
      <c r="L812" s="175"/>
      <c r="M812" s="175"/>
      <c r="N812" s="175"/>
      <c r="O812" s="175"/>
      <c r="P812" s="175"/>
      <c r="Q812" s="175"/>
      <c r="R812" s="175"/>
      <c r="S812" s="175"/>
    </row>
    <row r="813" spans="1:19" ht="14.25" customHeight="1">
      <c r="A813" s="175"/>
      <c r="B813" s="175"/>
      <c r="C813" s="175"/>
      <c r="D813" s="175"/>
      <c r="E813" s="175"/>
      <c r="F813" s="175"/>
      <c r="G813" s="175"/>
      <c r="H813" s="175"/>
      <c r="I813" s="175"/>
      <c r="J813" s="175"/>
      <c r="K813" s="175"/>
      <c r="L813" s="175"/>
      <c r="M813" s="175"/>
      <c r="N813" s="175"/>
      <c r="O813" s="175"/>
      <c r="P813" s="175"/>
      <c r="Q813" s="175"/>
      <c r="R813" s="175"/>
      <c r="S813" s="175"/>
    </row>
    <row r="814" spans="1:19" ht="14.25" customHeight="1">
      <c r="A814" s="175"/>
      <c r="B814" s="175"/>
      <c r="C814" s="175"/>
      <c r="D814" s="175"/>
      <c r="E814" s="175"/>
      <c r="F814" s="175"/>
      <c r="G814" s="175"/>
      <c r="H814" s="175"/>
      <c r="I814" s="175"/>
      <c r="J814" s="175"/>
      <c r="K814" s="175"/>
      <c r="L814" s="175"/>
      <c r="M814" s="175"/>
      <c r="N814" s="175"/>
      <c r="O814" s="175"/>
      <c r="P814" s="175"/>
      <c r="Q814" s="175"/>
      <c r="R814" s="175"/>
      <c r="S814" s="175"/>
    </row>
    <row r="815" spans="1:19" ht="14.25" customHeight="1">
      <c r="A815" s="175"/>
      <c r="B815" s="175"/>
      <c r="C815" s="175"/>
      <c r="D815" s="175"/>
      <c r="E815" s="175"/>
      <c r="F815" s="175"/>
      <c r="G815" s="175"/>
      <c r="H815" s="175"/>
      <c r="I815" s="175"/>
      <c r="J815" s="175"/>
      <c r="K815" s="175"/>
      <c r="L815" s="175"/>
      <c r="M815" s="175"/>
      <c r="N815" s="175"/>
      <c r="O815" s="175"/>
      <c r="P815" s="175"/>
      <c r="Q815" s="175"/>
      <c r="R815" s="175"/>
      <c r="S815" s="175"/>
    </row>
    <row r="816" spans="1:19" ht="14.25" customHeight="1">
      <c r="A816" s="175"/>
      <c r="B816" s="175"/>
      <c r="C816" s="175"/>
      <c r="D816" s="175"/>
      <c r="E816" s="175"/>
      <c r="F816" s="175"/>
      <c r="G816" s="175"/>
      <c r="H816" s="175"/>
      <c r="I816" s="175"/>
      <c r="J816" s="175"/>
      <c r="K816" s="175"/>
      <c r="L816" s="175"/>
      <c r="M816" s="175"/>
      <c r="N816" s="175"/>
      <c r="O816" s="175"/>
      <c r="P816" s="175"/>
      <c r="Q816" s="175"/>
      <c r="R816" s="175"/>
      <c r="S816" s="175"/>
    </row>
    <row r="817" spans="1:19" ht="14.25" customHeight="1">
      <c r="A817" s="175"/>
      <c r="B817" s="175"/>
      <c r="C817" s="175"/>
      <c r="D817" s="175"/>
      <c r="E817" s="175"/>
      <c r="F817" s="175"/>
      <c r="G817" s="175"/>
      <c r="H817" s="175"/>
      <c r="I817" s="175"/>
      <c r="J817" s="175"/>
      <c r="K817" s="175"/>
      <c r="L817" s="175"/>
      <c r="M817" s="175"/>
      <c r="N817" s="175"/>
      <c r="O817" s="175"/>
      <c r="P817" s="175"/>
      <c r="Q817" s="175"/>
      <c r="R817" s="175"/>
      <c r="S817" s="175"/>
    </row>
    <row r="818" spans="1:19" ht="14.25" customHeight="1">
      <c r="A818" s="175"/>
      <c r="B818" s="175"/>
      <c r="C818" s="175"/>
      <c r="D818" s="175"/>
      <c r="E818" s="175"/>
      <c r="F818" s="175"/>
      <c r="G818" s="175"/>
      <c r="H818" s="175"/>
      <c r="I818" s="175"/>
      <c r="J818" s="175"/>
      <c r="K818" s="175"/>
      <c r="L818" s="175"/>
      <c r="M818" s="175"/>
      <c r="N818" s="175"/>
      <c r="O818" s="175"/>
      <c r="P818" s="175"/>
      <c r="Q818" s="175"/>
      <c r="R818" s="175"/>
      <c r="S818" s="175"/>
    </row>
    <row r="819" spans="1:19" ht="14.25" customHeight="1">
      <c r="A819" s="175"/>
      <c r="B819" s="175"/>
      <c r="C819" s="175"/>
      <c r="D819" s="175"/>
      <c r="E819" s="175"/>
      <c r="F819" s="175"/>
      <c r="G819" s="175"/>
      <c r="H819" s="175"/>
      <c r="I819" s="175"/>
      <c r="J819" s="175"/>
      <c r="K819" s="175"/>
      <c r="L819" s="175"/>
      <c r="M819" s="175"/>
      <c r="N819" s="175"/>
      <c r="O819" s="175"/>
      <c r="P819" s="175"/>
      <c r="Q819" s="175"/>
      <c r="R819" s="175"/>
      <c r="S819" s="175"/>
    </row>
    <row r="820" spans="1:19" ht="14.25" customHeight="1">
      <c r="A820" s="175"/>
      <c r="B820" s="175"/>
      <c r="C820" s="175"/>
      <c r="D820" s="175"/>
      <c r="E820" s="175"/>
      <c r="F820" s="175"/>
      <c r="G820" s="175"/>
      <c r="H820" s="175"/>
      <c r="I820" s="175"/>
      <c r="J820" s="175"/>
      <c r="K820" s="175"/>
      <c r="L820" s="175"/>
      <c r="M820" s="175"/>
      <c r="N820" s="175"/>
      <c r="O820" s="175"/>
      <c r="P820" s="175"/>
      <c r="Q820" s="175"/>
      <c r="R820" s="175"/>
      <c r="S820" s="175"/>
    </row>
    <row r="821" spans="1:19" ht="14.25" customHeight="1">
      <c r="A821" s="175"/>
      <c r="B821" s="175"/>
      <c r="C821" s="175"/>
      <c r="D821" s="175"/>
      <c r="E821" s="175"/>
      <c r="F821" s="175"/>
      <c r="G821" s="175"/>
      <c r="H821" s="175"/>
      <c r="I821" s="175"/>
      <c r="J821" s="175"/>
      <c r="K821" s="175"/>
      <c r="L821" s="175"/>
      <c r="M821" s="175"/>
      <c r="N821" s="175"/>
      <c r="O821" s="175"/>
      <c r="P821" s="175"/>
      <c r="Q821" s="175"/>
      <c r="R821" s="175"/>
      <c r="S821" s="175"/>
    </row>
    <row r="822" spans="1:19" ht="14.25" customHeight="1">
      <c r="A822" s="175"/>
      <c r="B822" s="175"/>
      <c r="C822" s="175"/>
      <c r="D822" s="175"/>
      <c r="E822" s="175"/>
      <c r="F822" s="175"/>
      <c r="G822" s="175"/>
      <c r="H822" s="175"/>
      <c r="I822" s="175"/>
      <c r="J822" s="175"/>
      <c r="K822" s="175"/>
      <c r="L822" s="175"/>
      <c r="M822" s="175"/>
      <c r="N822" s="175"/>
      <c r="O822" s="175"/>
      <c r="P822" s="175"/>
      <c r="Q822" s="175"/>
      <c r="R822" s="175"/>
      <c r="S822" s="175"/>
    </row>
    <row r="823" spans="1:19" ht="14.25" customHeight="1">
      <c r="A823" s="175"/>
      <c r="B823" s="175"/>
      <c r="C823" s="175"/>
      <c r="D823" s="175"/>
      <c r="E823" s="175"/>
      <c r="F823" s="175"/>
      <c r="G823" s="175"/>
      <c r="H823" s="175"/>
      <c r="I823" s="175"/>
      <c r="J823" s="175"/>
      <c r="K823" s="175"/>
      <c r="L823" s="175"/>
      <c r="M823" s="175"/>
      <c r="N823" s="175"/>
      <c r="O823" s="175"/>
      <c r="P823" s="175"/>
      <c r="Q823" s="175"/>
      <c r="R823" s="175"/>
      <c r="S823" s="175"/>
    </row>
    <row r="824" spans="1:19" ht="14.25" customHeight="1">
      <c r="A824" s="175"/>
      <c r="B824" s="175"/>
      <c r="C824" s="175"/>
      <c r="D824" s="175"/>
      <c r="E824" s="175"/>
      <c r="F824" s="175"/>
      <c r="G824" s="175"/>
      <c r="H824" s="175"/>
      <c r="I824" s="175"/>
      <c r="J824" s="175"/>
      <c r="K824" s="175"/>
      <c r="L824" s="175"/>
      <c r="M824" s="175"/>
      <c r="N824" s="175"/>
      <c r="O824" s="175"/>
      <c r="P824" s="175"/>
      <c r="Q824" s="175"/>
      <c r="R824" s="175"/>
      <c r="S824" s="175"/>
    </row>
    <row r="825" spans="1:19" ht="14.25" customHeight="1">
      <c r="A825" s="175"/>
      <c r="B825" s="175"/>
      <c r="C825" s="175"/>
      <c r="D825" s="175"/>
      <c r="E825" s="175"/>
      <c r="F825" s="175"/>
      <c r="G825" s="175"/>
      <c r="H825" s="175"/>
      <c r="I825" s="175"/>
      <c r="J825" s="175"/>
      <c r="K825" s="175"/>
      <c r="L825" s="175"/>
      <c r="M825" s="175"/>
      <c r="N825" s="175"/>
      <c r="O825" s="175"/>
      <c r="P825" s="175"/>
      <c r="Q825" s="175"/>
      <c r="R825" s="175"/>
      <c r="S825" s="175"/>
    </row>
    <row r="826" spans="1:19" ht="14.25" customHeight="1">
      <c r="A826" s="175"/>
      <c r="B826" s="175"/>
      <c r="C826" s="175"/>
      <c r="D826" s="175"/>
      <c r="E826" s="175"/>
      <c r="F826" s="175"/>
      <c r="G826" s="175"/>
      <c r="H826" s="175"/>
      <c r="I826" s="175"/>
      <c r="J826" s="175"/>
      <c r="K826" s="175"/>
      <c r="L826" s="175"/>
      <c r="M826" s="175"/>
      <c r="N826" s="175"/>
      <c r="O826" s="175"/>
      <c r="P826" s="175"/>
      <c r="Q826" s="175"/>
      <c r="R826" s="175"/>
      <c r="S826" s="175"/>
    </row>
    <row r="827" spans="1:19" ht="14.25" customHeight="1">
      <c r="A827" s="175"/>
      <c r="B827" s="175"/>
      <c r="C827" s="175"/>
      <c r="D827" s="175"/>
      <c r="E827" s="175"/>
      <c r="F827" s="175"/>
      <c r="G827" s="175"/>
      <c r="H827" s="175"/>
      <c r="I827" s="175"/>
      <c r="J827" s="175"/>
      <c r="K827" s="175"/>
      <c r="L827" s="175"/>
      <c r="M827" s="175"/>
      <c r="N827" s="175"/>
      <c r="O827" s="175"/>
      <c r="P827" s="175"/>
      <c r="Q827" s="175"/>
      <c r="R827" s="175"/>
      <c r="S827" s="175"/>
    </row>
    <row r="828" spans="1:19" ht="14.25" customHeight="1">
      <c r="A828" s="175"/>
      <c r="B828" s="175"/>
      <c r="C828" s="175"/>
      <c r="D828" s="175"/>
      <c r="E828" s="175"/>
      <c r="F828" s="175"/>
      <c r="G828" s="175"/>
      <c r="H828" s="175"/>
      <c r="I828" s="175"/>
      <c r="J828" s="175"/>
      <c r="K828" s="175"/>
      <c r="L828" s="175"/>
      <c r="M828" s="175"/>
      <c r="N828" s="175"/>
      <c r="O828" s="175"/>
      <c r="P828" s="175"/>
      <c r="Q828" s="175"/>
      <c r="R828" s="175"/>
      <c r="S828" s="175"/>
    </row>
    <row r="829" spans="1:19" ht="14.25" customHeight="1">
      <c r="A829" s="175"/>
      <c r="B829" s="175"/>
      <c r="C829" s="175"/>
      <c r="D829" s="175"/>
      <c r="E829" s="175"/>
      <c r="F829" s="175"/>
      <c r="G829" s="175"/>
      <c r="H829" s="175"/>
      <c r="I829" s="175"/>
      <c r="J829" s="175"/>
      <c r="K829" s="175"/>
      <c r="L829" s="175"/>
      <c r="M829" s="175"/>
      <c r="N829" s="175"/>
      <c r="O829" s="175"/>
      <c r="P829" s="175"/>
      <c r="Q829" s="175"/>
      <c r="R829" s="175"/>
      <c r="S829" s="175"/>
    </row>
    <row r="830" spans="1:19" ht="14.25" customHeight="1">
      <c r="A830" s="175"/>
      <c r="B830" s="175"/>
      <c r="C830" s="175"/>
      <c r="D830" s="175"/>
      <c r="E830" s="175"/>
      <c r="F830" s="175"/>
      <c r="G830" s="175"/>
      <c r="H830" s="175"/>
      <c r="I830" s="175"/>
      <c r="J830" s="175"/>
      <c r="K830" s="175"/>
      <c r="L830" s="175"/>
      <c r="M830" s="175"/>
      <c r="N830" s="175"/>
      <c r="O830" s="175"/>
      <c r="P830" s="175"/>
      <c r="Q830" s="175"/>
      <c r="R830" s="175"/>
      <c r="S830" s="175"/>
    </row>
    <row r="831" spans="1:19" ht="14.25" customHeight="1">
      <c r="A831" s="175"/>
      <c r="B831" s="175"/>
      <c r="C831" s="175"/>
      <c r="D831" s="175"/>
      <c r="E831" s="175"/>
      <c r="F831" s="175"/>
      <c r="G831" s="175"/>
      <c r="H831" s="175"/>
      <c r="I831" s="175"/>
      <c r="J831" s="175"/>
      <c r="K831" s="175"/>
      <c r="L831" s="175"/>
      <c r="M831" s="175"/>
      <c r="N831" s="175"/>
      <c r="O831" s="175"/>
      <c r="P831" s="175"/>
      <c r="Q831" s="175"/>
      <c r="R831" s="175"/>
      <c r="S831" s="175"/>
    </row>
    <row r="832" spans="1:19" ht="14.25" customHeight="1">
      <c r="A832" s="175"/>
      <c r="B832" s="175"/>
      <c r="C832" s="175"/>
      <c r="D832" s="175"/>
      <c r="E832" s="175"/>
      <c r="F832" s="175"/>
      <c r="G832" s="175"/>
      <c r="H832" s="175"/>
      <c r="I832" s="175"/>
      <c r="J832" s="175"/>
      <c r="K832" s="175"/>
      <c r="L832" s="175"/>
      <c r="M832" s="175"/>
      <c r="N832" s="175"/>
      <c r="O832" s="175"/>
      <c r="P832" s="175"/>
      <c r="Q832" s="175"/>
      <c r="R832" s="175"/>
      <c r="S832" s="175"/>
    </row>
    <row r="833" spans="1:19" ht="14.25" customHeight="1">
      <c r="A833" s="175"/>
      <c r="B833" s="175"/>
      <c r="C833" s="175"/>
      <c r="D833" s="175"/>
      <c r="E833" s="175"/>
      <c r="F833" s="175"/>
      <c r="G833" s="175"/>
      <c r="H833" s="175"/>
      <c r="I833" s="175"/>
      <c r="J833" s="175"/>
      <c r="K833" s="175"/>
      <c r="L833" s="175"/>
      <c r="M833" s="175"/>
      <c r="N833" s="175"/>
      <c r="O833" s="175"/>
      <c r="P833" s="175"/>
      <c r="Q833" s="175"/>
      <c r="R833" s="175"/>
      <c r="S833" s="175"/>
    </row>
    <row r="834" spans="1:19" ht="14.25" customHeight="1">
      <c r="A834" s="175"/>
      <c r="B834" s="175"/>
      <c r="C834" s="175"/>
      <c r="D834" s="175"/>
      <c r="E834" s="175"/>
      <c r="F834" s="175"/>
      <c r="G834" s="175"/>
      <c r="H834" s="175"/>
      <c r="I834" s="175"/>
      <c r="J834" s="175"/>
      <c r="K834" s="175"/>
      <c r="L834" s="175"/>
      <c r="M834" s="175"/>
      <c r="N834" s="175"/>
      <c r="O834" s="175"/>
      <c r="P834" s="175"/>
      <c r="Q834" s="175"/>
      <c r="R834" s="175"/>
      <c r="S834" s="175"/>
    </row>
    <row r="835" spans="1:19" ht="14.25" customHeight="1">
      <c r="A835" s="175"/>
      <c r="B835" s="175"/>
      <c r="C835" s="175"/>
      <c r="D835" s="175"/>
      <c r="E835" s="175"/>
      <c r="F835" s="175"/>
      <c r="G835" s="175"/>
      <c r="H835" s="175"/>
      <c r="I835" s="175"/>
      <c r="J835" s="175"/>
      <c r="K835" s="175"/>
      <c r="L835" s="175"/>
      <c r="M835" s="175"/>
      <c r="N835" s="175"/>
      <c r="O835" s="175"/>
      <c r="P835" s="175"/>
      <c r="Q835" s="175"/>
      <c r="R835" s="175"/>
      <c r="S835" s="175"/>
    </row>
    <row r="836" spans="1:19" ht="14.25" customHeight="1">
      <c r="A836" s="175"/>
      <c r="B836" s="175"/>
      <c r="C836" s="175"/>
      <c r="D836" s="175"/>
      <c r="E836" s="175"/>
      <c r="F836" s="175"/>
      <c r="G836" s="175"/>
      <c r="H836" s="175"/>
      <c r="I836" s="175"/>
      <c r="J836" s="175"/>
      <c r="K836" s="175"/>
      <c r="L836" s="175"/>
      <c r="M836" s="175"/>
      <c r="N836" s="175"/>
      <c r="O836" s="175"/>
      <c r="P836" s="175"/>
      <c r="Q836" s="175"/>
      <c r="R836" s="175"/>
      <c r="S836" s="175"/>
    </row>
    <row r="837" spans="1:19" ht="14.25" customHeight="1">
      <c r="A837" s="175"/>
      <c r="B837" s="175"/>
      <c r="C837" s="175"/>
      <c r="D837" s="175"/>
      <c r="E837" s="175"/>
      <c r="F837" s="175"/>
      <c r="G837" s="175"/>
      <c r="H837" s="175"/>
      <c r="I837" s="175"/>
      <c r="J837" s="175"/>
      <c r="K837" s="175"/>
      <c r="L837" s="175"/>
      <c r="M837" s="175"/>
      <c r="N837" s="175"/>
      <c r="O837" s="175"/>
      <c r="P837" s="175"/>
      <c r="Q837" s="175"/>
      <c r="R837" s="175"/>
      <c r="S837" s="175"/>
    </row>
    <row r="838" spans="1:19" ht="14.25" customHeight="1">
      <c r="A838" s="175"/>
      <c r="B838" s="175"/>
      <c r="C838" s="175"/>
      <c r="D838" s="175"/>
      <c r="E838" s="175"/>
      <c r="F838" s="175"/>
      <c r="G838" s="175"/>
      <c r="H838" s="175"/>
      <c r="I838" s="175"/>
      <c r="J838" s="175"/>
      <c r="K838" s="175"/>
      <c r="L838" s="175"/>
      <c r="M838" s="175"/>
      <c r="N838" s="175"/>
      <c r="O838" s="175"/>
      <c r="P838" s="175"/>
      <c r="Q838" s="175"/>
      <c r="R838" s="175"/>
      <c r="S838" s="175"/>
    </row>
    <row r="839" spans="1:19" ht="14.25" customHeight="1">
      <c r="A839" s="175"/>
      <c r="B839" s="175"/>
      <c r="C839" s="175"/>
      <c r="D839" s="175"/>
      <c r="E839" s="175"/>
      <c r="F839" s="175"/>
      <c r="G839" s="175"/>
      <c r="H839" s="175"/>
      <c r="I839" s="175"/>
      <c r="J839" s="175"/>
      <c r="K839" s="175"/>
      <c r="L839" s="175"/>
      <c r="M839" s="175"/>
      <c r="N839" s="175"/>
      <c r="O839" s="175"/>
      <c r="P839" s="175"/>
      <c r="Q839" s="175"/>
      <c r="R839" s="175"/>
      <c r="S839" s="175"/>
    </row>
    <row r="840" spans="1:19" ht="14.25" customHeight="1">
      <c r="A840" s="175"/>
      <c r="B840" s="175"/>
      <c r="C840" s="175"/>
      <c r="D840" s="175"/>
      <c r="E840" s="175"/>
      <c r="F840" s="175"/>
      <c r="G840" s="175"/>
      <c r="H840" s="175"/>
      <c r="I840" s="175"/>
      <c r="J840" s="175"/>
      <c r="K840" s="175"/>
      <c r="L840" s="175"/>
      <c r="M840" s="175"/>
      <c r="N840" s="175"/>
      <c r="O840" s="175"/>
      <c r="P840" s="175"/>
      <c r="Q840" s="175"/>
      <c r="R840" s="175"/>
      <c r="S840" s="175"/>
    </row>
    <row r="841" spans="1:19" ht="14.25" customHeight="1">
      <c r="A841" s="175"/>
      <c r="B841" s="175"/>
      <c r="C841" s="175"/>
      <c r="D841" s="175"/>
      <c r="E841" s="175"/>
      <c r="F841" s="175"/>
      <c r="G841" s="175"/>
      <c r="H841" s="175"/>
      <c r="I841" s="175"/>
      <c r="J841" s="175"/>
      <c r="K841" s="175"/>
      <c r="L841" s="175"/>
      <c r="M841" s="175"/>
      <c r="N841" s="175"/>
      <c r="O841" s="175"/>
      <c r="P841" s="175"/>
      <c r="Q841" s="175"/>
      <c r="R841" s="175"/>
      <c r="S841" s="175"/>
    </row>
    <row r="842" spans="1:19" ht="14.25" customHeight="1">
      <c r="A842" s="175"/>
      <c r="B842" s="175"/>
      <c r="C842" s="175"/>
      <c r="D842" s="175"/>
      <c r="E842" s="175"/>
      <c r="F842" s="175"/>
      <c r="G842" s="175"/>
      <c r="H842" s="175"/>
      <c r="I842" s="175"/>
      <c r="J842" s="175"/>
      <c r="K842" s="175"/>
      <c r="L842" s="175"/>
      <c r="M842" s="175"/>
      <c r="N842" s="175"/>
      <c r="O842" s="175"/>
      <c r="P842" s="175"/>
      <c r="Q842" s="175"/>
      <c r="R842" s="175"/>
      <c r="S842" s="175"/>
    </row>
    <row r="843" spans="1:19" ht="14.25" customHeight="1">
      <c r="A843" s="175"/>
      <c r="B843" s="175"/>
      <c r="C843" s="175"/>
      <c r="D843" s="175"/>
      <c r="E843" s="175"/>
      <c r="F843" s="175"/>
      <c r="G843" s="175"/>
      <c r="H843" s="175"/>
      <c r="I843" s="175"/>
      <c r="J843" s="175"/>
      <c r="K843" s="175"/>
      <c r="L843" s="175"/>
      <c r="M843" s="175"/>
      <c r="N843" s="175"/>
      <c r="O843" s="175"/>
      <c r="P843" s="175"/>
      <c r="Q843" s="175"/>
      <c r="R843" s="175"/>
      <c r="S843" s="175"/>
    </row>
    <row r="844" spans="1:19" ht="14.25" customHeight="1">
      <c r="A844" s="175"/>
      <c r="B844" s="175"/>
      <c r="C844" s="175"/>
      <c r="D844" s="175"/>
      <c r="E844" s="175"/>
      <c r="F844" s="175"/>
      <c r="G844" s="175"/>
      <c r="H844" s="175"/>
      <c r="I844" s="175"/>
      <c r="J844" s="175"/>
      <c r="K844" s="175"/>
      <c r="L844" s="175"/>
      <c r="M844" s="175"/>
      <c r="N844" s="175"/>
      <c r="O844" s="175"/>
      <c r="P844" s="175"/>
      <c r="Q844" s="175"/>
      <c r="R844" s="175"/>
      <c r="S844" s="175"/>
    </row>
    <row r="845" spans="1:19" ht="14.25" customHeight="1">
      <c r="A845" s="175"/>
      <c r="B845" s="175"/>
      <c r="C845" s="175"/>
      <c r="D845" s="175"/>
      <c r="E845" s="175"/>
      <c r="F845" s="175"/>
      <c r="G845" s="175"/>
      <c r="H845" s="175"/>
      <c r="I845" s="175"/>
      <c r="J845" s="175"/>
      <c r="K845" s="175"/>
      <c r="L845" s="175"/>
      <c r="M845" s="175"/>
      <c r="N845" s="175"/>
      <c r="O845" s="175"/>
      <c r="P845" s="175"/>
      <c r="Q845" s="175"/>
      <c r="R845" s="175"/>
      <c r="S845" s="175"/>
    </row>
    <row r="846" spans="1:19" ht="14.25" customHeight="1">
      <c r="A846" s="175"/>
      <c r="B846" s="175"/>
      <c r="C846" s="175"/>
      <c r="D846" s="175"/>
      <c r="E846" s="175"/>
      <c r="F846" s="175"/>
      <c r="G846" s="175"/>
      <c r="H846" s="175"/>
      <c r="I846" s="175"/>
      <c r="J846" s="175"/>
      <c r="K846" s="175"/>
      <c r="L846" s="175"/>
      <c r="M846" s="175"/>
      <c r="N846" s="175"/>
      <c r="O846" s="175"/>
      <c r="P846" s="175"/>
      <c r="Q846" s="175"/>
      <c r="R846" s="175"/>
      <c r="S846" s="175"/>
    </row>
    <row r="847" spans="1:19" ht="14.25" customHeight="1">
      <c r="A847" s="175"/>
      <c r="B847" s="175"/>
      <c r="C847" s="175"/>
      <c r="D847" s="175"/>
      <c r="E847" s="175"/>
      <c r="F847" s="175"/>
      <c r="G847" s="175"/>
      <c r="H847" s="175"/>
      <c r="I847" s="175"/>
      <c r="J847" s="175"/>
      <c r="K847" s="175"/>
      <c r="L847" s="175"/>
      <c r="M847" s="175"/>
      <c r="N847" s="175"/>
      <c r="O847" s="175"/>
      <c r="P847" s="175"/>
      <c r="Q847" s="175"/>
      <c r="R847" s="175"/>
      <c r="S847" s="175"/>
    </row>
    <row r="848" spans="1:19" ht="14.25" customHeight="1">
      <c r="A848" s="175"/>
      <c r="B848" s="175"/>
      <c r="C848" s="175"/>
      <c r="D848" s="175"/>
      <c r="E848" s="175"/>
      <c r="F848" s="175"/>
      <c r="G848" s="175"/>
      <c r="H848" s="175"/>
      <c r="I848" s="175"/>
      <c r="J848" s="175"/>
      <c r="K848" s="175"/>
      <c r="L848" s="175"/>
      <c r="M848" s="175"/>
      <c r="N848" s="175"/>
      <c r="O848" s="175"/>
      <c r="P848" s="175"/>
      <c r="Q848" s="175"/>
      <c r="R848" s="175"/>
      <c r="S848" s="175"/>
    </row>
    <row r="849" spans="1:19" ht="14.25" customHeight="1">
      <c r="A849" s="175"/>
      <c r="B849" s="175"/>
      <c r="C849" s="175"/>
      <c r="D849" s="175"/>
      <c r="E849" s="175"/>
      <c r="F849" s="175"/>
      <c r="G849" s="175"/>
      <c r="H849" s="175"/>
      <c r="I849" s="175"/>
      <c r="J849" s="175"/>
      <c r="K849" s="175"/>
      <c r="L849" s="175"/>
      <c r="M849" s="175"/>
      <c r="N849" s="175"/>
      <c r="O849" s="175"/>
      <c r="P849" s="175"/>
      <c r="Q849" s="175"/>
      <c r="R849" s="175"/>
      <c r="S849" s="175"/>
    </row>
    <row r="850" spans="1:19" ht="14.25" customHeight="1">
      <c r="A850" s="175"/>
      <c r="B850" s="175"/>
      <c r="C850" s="175"/>
      <c r="D850" s="175"/>
      <c r="E850" s="175"/>
      <c r="F850" s="175"/>
      <c r="G850" s="175"/>
      <c r="H850" s="175"/>
      <c r="I850" s="175"/>
      <c r="J850" s="175"/>
      <c r="K850" s="175"/>
      <c r="L850" s="175"/>
      <c r="M850" s="175"/>
      <c r="N850" s="175"/>
      <c r="O850" s="175"/>
      <c r="P850" s="175"/>
      <c r="Q850" s="175"/>
      <c r="R850" s="175"/>
      <c r="S850" s="175"/>
    </row>
    <row r="851" spans="1:19" ht="14.25" customHeight="1">
      <c r="A851" s="175"/>
      <c r="B851" s="175"/>
      <c r="C851" s="175"/>
      <c r="D851" s="175"/>
      <c r="E851" s="175"/>
      <c r="F851" s="175"/>
      <c r="G851" s="175"/>
      <c r="H851" s="175"/>
      <c r="I851" s="175"/>
      <c r="J851" s="175"/>
      <c r="K851" s="175"/>
      <c r="L851" s="175"/>
      <c r="M851" s="175"/>
      <c r="N851" s="175"/>
      <c r="O851" s="175"/>
      <c r="P851" s="175"/>
      <c r="Q851" s="175"/>
      <c r="R851" s="175"/>
      <c r="S851" s="175"/>
    </row>
    <row r="852" spans="1:19" ht="14.25" customHeight="1">
      <c r="A852" s="175"/>
      <c r="B852" s="175"/>
      <c r="C852" s="175"/>
      <c r="D852" s="175"/>
      <c r="E852" s="175"/>
      <c r="F852" s="175"/>
      <c r="G852" s="175"/>
      <c r="H852" s="175"/>
      <c r="I852" s="175"/>
      <c r="J852" s="175"/>
      <c r="K852" s="175"/>
      <c r="L852" s="175"/>
      <c r="M852" s="175"/>
      <c r="N852" s="175"/>
      <c r="O852" s="175"/>
      <c r="P852" s="175"/>
      <c r="Q852" s="175"/>
      <c r="R852" s="175"/>
      <c r="S852" s="175"/>
    </row>
    <row r="853" spans="1:19" ht="14.25" customHeight="1">
      <c r="A853" s="175"/>
      <c r="B853" s="175"/>
      <c r="C853" s="175"/>
      <c r="D853" s="175"/>
      <c r="E853" s="175"/>
      <c r="F853" s="175"/>
      <c r="G853" s="175"/>
      <c r="H853" s="175"/>
      <c r="I853" s="175"/>
      <c r="J853" s="175"/>
      <c r="K853" s="175"/>
      <c r="L853" s="175"/>
      <c r="M853" s="175"/>
      <c r="N853" s="175"/>
      <c r="O853" s="175"/>
      <c r="P853" s="175"/>
      <c r="Q853" s="175"/>
      <c r="R853" s="175"/>
      <c r="S853" s="175"/>
    </row>
    <row r="854" spans="1:19" ht="14.25" customHeight="1">
      <c r="A854" s="175"/>
      <c r="B854" s="175"/>
      <c r="C854" s="175"/>
      <c r="D854" s="175"/>
      <c r="E854" s="175"/>
      <c r="F854" s="175"/>
      <c r="G854" s="175"/>
      <c r="H854" s="175"/>
      <c r="I854" s="175"/>
      <c r="J854" s="175"/>
      <c r="K854" s="175"/>
      <c r="L854" s="175"/>
      <c r="M854" s="175"/>
      <c r="N854" s="175"/>
      <c r="O854" s="175"/>
      <c r="P854" s="175"/>
      <c r="Q854" s="175"/>
      <c r="R854" s="175"/>
      <c r="S854" s="175"/>
    </row>
    <row r="855" spans="1:19" ht="14.25" customHeight="1">
      <c r="A855" s="175"/>
      <c r="B855" s="175"/>
      <c r="C855" s="175"/>
      <c r="D855" s="175"/>
      <c r="E855" s="175"/>
      <c r="F855" s="175"/>
      <c r="G855" s="175"/>
      <c r="H855" s="175"/>
      <c r="I855" s="175"/>
      <c r="J855" s="175"/>
      <c r="K855" s="175"/>
      <c r="L855" s="175"/>
      <c r="M855" s="175"/>
      <c r="N855" s="175"/>
      <c r="O855" s="175"/>
      <c r="P855" s="175"/>
      <c r="Q855" s="175"/>
      <c r="R855" s="175"/>
      <c r="S855" s="175"/>
    </row>
    <row r="856" spans="1:19" ht="14.25" customHeight="1">
      <c r="A856" s="175"/>
      <c r="B856" s="175"/>
      <c r="C856" s="175"/>
      <c r="D856" s="175"/>
      <c r="E856" s="175"/>
      <c r="F856" s="175"/>
      <c r="G856" s="175"/>
      <c r="H856" s="175"/>
      <c r="I856" s="175"/>
      <c r="J856" s="175"/>
      <c r="K856" s="175"/>
      <c r="L856" s="175"/>
      <c r="M856" s="175"/>
      <c r="N856" s="175"/>
      <c r="O856" s="175"/>
      <c r="P856" s="175"/>
      <c r="Q856" s="175"/>
      <c r="R856" s="175"/>
      <c r="S856" s="175"/>
    </row>
    <row r="857" spans="1:19" ht="14.25" customHeight="1">
      <c r="A857" s="175"/>
      <c r="B857" s="175"/>
      <c r="C857" s="175"/>
      <c r="D857" s="175"/>
      <c r="E857" s="175"/>
      <c r="F857" s="175"/>
      <c r="G857" s="175"/>
      <c r="H857" s="175"/>
      <c r="I857" s="175"/>
      <c r="J857" s="175"/>
      <c r="K857" s="175"/>
      <c r="L857" s="175"/>
      <c r="M857" s="175"/>
      <c r="N857" s="175"/>
      <c r="O857" s="175"/>
      <c r="P857" s="175"/>
      <c r="Q857" s="175"/>
      <c r="R857" s="175"/>
      <c r="S857" s="175"/>
    </row>
    <row r="858" spans="1:19" ht="14.25" customHeight="1">
      <c r="A858" s="175"/>
      <c r="B858" s="175"/>
      <c r="C858" s="175"/>
      <c r="D858" s="175"/>
      <c r="E858" s="175"/>
      <c r="F858" s="175"/>
      <c r="G858" s="175"/>
      <c r="H858" s="175"/>
      <c r="I858" s="175"/>
      <c r="J858" s="175"/>
      <c r="K858" s="175"/>
      <c r="L858" s="175"/>
      <c r="M858" s="175"/>
      <c r="N858" s="175"/>
      <c r="O858" s="175"/>
      <c r="P858" s="175"/>
      <c r="Q858" s="175"/>
      <c r="R858" s="175"/>
      <c r="S858" s="175"/>
    </row>
    <row r="859" spans="1:19" ht="14.25" customHeight="1">
      <c r="A859" s="175"/>
      <c r="B859" s="175"/>
      <c r="C859" s="175"/>
      <c r="D859" s="175"/>
      <c r="E859" s="175"/>
      <c r="F859" s="175"/>
      <c r="G859" s="175"/>
      <c r="H859" s="175"/>
      <c r="I859" s="175"/>
      <c r="J859" s="175"/>
      <c r="K859" s="175"/>
      <c r="L859" s="175"/>
      <c r="M859" s="175"/>
      <c r="N859" s="175"/>
      <c r="O859" s="175"/>
      <c r="P859" s="175"/>
      <c r="Q859" s="175"/>
      <c r="R859" s="175"/>
      <c r="S859" s="175"/>
    </row>
    <row r="860" spans="1:19" ht="14.25" customHeight="1">
      <c r="A860" s="175"/>
      <c r="B860" s="175"/>
      <c r="C860" s="175"/>
      <c r="D860" s="175"/>
      <c r="E860" s="175"/>
      <c r="F860" s="175"/>
      <c r="G860" s="175"/>
      <c r="H860" s="175"/>
      <c r="I860" s="175"/>
      <c r="J860" s="175"/>
      <c r="K860" s="175"/>
      <c r="L860" s="175"/>
      <c r="M860" s="175"/>
      <c r="N860" s="175"/>
      <c r="O860" s="175"/>
      <c r="P860" s="175"/>
      <c r="Q860" s="175"/>
      <c r="R860" s="175"/>
      <c r="S860" s="175"/>
    </row>
    <row r="861" spans="1:19" ht="14.25" customHeight="1">
      <c r="A861" s="175"/>
      <c r="B861" s="175"/>
      <c r="C861" s="175"/>
      <c r="D861" s="175"/>
      <c r="E861" s="175"/>
      <c r="F861" s="175"/>
      <c r="G861" s="175"/>
      <c r="H861" s="175"/>
      <c r="I861" s="175"/>
      <c r="J861" s="175"/>
      <c r="K861" s="175"/>
      <c r="L861" s="175"/>
      <c r="M861" s="175"/>
      <c r="N861" s="175"/>
      <c r="O861" s="175"/>
      <c r="P861" s="175"/>
      <c r="Q861" s="175"/>
      <c r="R861" s="175"/>
      <c r="S861" s="175"/>
    </row>
    <row r="862" spans="1:19" ht="14.25" customHeight="1">
      <c r="A862" s="175"/>
      <c r="B862" s="175"/>
      <c r="C862" s="175"/>
      <c r="D862" s="175"/>
      <c r="E862" s="175"/>
      <c r="F862" s="175"/>
      <c r="G862" s="175"/>
      <c r="H862" s="175"/>
      <c r="I862" s="175"/>
      <c r="J862" s="175"/>
      <c r="K862" s="175"/>
      <c r="L862" s="175"/>
      <c r="M862" s="175"/>
      <c r="N862" s="175"/>
      <c r="O862" s="175"/>
      <c r="P862" s="175"/>
      <c r="Q862" s="175"/>
      <c r="R862" s="175"/>
      <c r="S862" s="175"/>
    </row>
    <row r="863" spans="1:19" ht="14.25" customHeight="1">
      <c r="A863" s="175"/>
      <c r="B863" s="175"/>
      <c r="C863" s="175"/>
      <c r="D863" s="175"/>
      <c r="E863" s="175"/>
      <c r="F863" s="175"/>
      <c r="G863" s="175"/>
      <c r="H863" s="175"/>
      <c r="I863" s="175"/>
      <c r="J863" s="175"/>
      <c r="K863" s="175"/>
      <c r="L863" s="175"/>
      <c r="M863" s="175"/>
      <c r="N863" s="175"/>
      <c r="O863" s="175"/>
      <c r="P863" s="175"/>
      <c r="Q863" s="175"/>
      <c r="R863" s="175"/>
      <c r="S863" s="175"/>
    </row>
    <row r="864" spans="1:19" ht="14.25" customHeight="1">
      <c r="A864" s="175"/>
      <c r="B864" s="175"/>
      <c r="C864" s="175"/>
      <c r="D864" s="175"/>
      <c r="E864" s="175"/>
      <c r="F864" s="175"/>
      <c r="G864" s="175"/>
      <c r="H864" s="175"/>
      <c r="I864" s="175"/>
      <c r="J864" s="175"/>
      <c r="K864" s="175"/>
      <c r="L864" s="175"/>
      <c r="M864" s="175"/>
      <c r="N864" s="175"/>
      <c r="O864" s="175"/>
      <c r="P864" s="175"/>
      <c r="Q864" s="175"/>
      <c r="R864" s="175"/>
      <c r="S864" s="175"/>
    </row>
    <row r="865" spans="1:19" ht="14.25" customHeight="1">
      <c r="A865" s="175"/>
      <c r="B865" s="175"/>
      <c r="C865" s="175"/>
      <c r="D865" s="175"/>
      <c r="E865" s="175"/>
      <c r="F865" s="175"/>
      <c r="G865" s="175"/>
      <c r="H865" s="175"/>
      <c r="I865" s="175"/>
      <c r="J865" s="175"/>
      <c r="K865" s="175"/>
      <c r="L865" s="175"/>
      <c r="M865" s="175"/>
      <c r="N865" s="175"/>
      <c r="O865" s="175"/>
      <c r="P865" s="175"/>
      <c r="Q865" s="175"/>
      <c r="R865" s="175"/>
      <c r="S865" s="175"/>
    </row>
    <row r="866" spans="1:19" ht="14.25" customHeight="1">
      <c r="A866" s="175"/>
      <c r="B866" s="175"/>
      <c r="C866" s="175"/>
      <c r="D866" s="175"/>
      <c r="E866" s="175"/>
      <c r="F866" s="175"/>
      <c r="G866" s="175"/>
      <c r="H866" s="175"/>
      <c r="I866" s="175"/>
      <c r="J866" s="175"/>
      <c r="K866" s="175"/>
      <c r="L866" s="175"/>
      <c r="M866" s="175"/>
      <c r="N866" s="175"/>
      <c r="O866" s="175"/>
      <c r="P866" s="175"/>
      <c r="Q866" s="175"/>
      <c r="R866" s="175"/>
      <c r="S866" s="175"/>
    </row>
    <row r="867" spans="1:19" ht="14.25" customHeight="1">
      <c r="A867" s="175"/>
      <c r="B867" s="175"/>
      <c r="C867" s="175"/>
      <c r="D867" s="175"/>
      <c r="E867" s="175"/>
      <c r="F867" s="175"/>
      <c r="G867" s="175"/>
      <c r="H867" s="175"/>
      <c r="I867" s="175"/>
      <c r="J867" s="175"/>
      <c r="K867" s="175"/>
      <c r="L867" s="175"/>
      <c r="M867" s="175"/>
      <c r="N867" s="175"/>
      <c r="O867" s="175"/>
      <c r="P867" s="175"/>
      <c r="Q867" s="175"/>
      <c r="R867" s="175"/>
      <c r="S867" s="175"/>
    </row>
    <row r="868" spans="1:19" ht="14.25" customHeight="1">
      <c r="A868" s="175"/>
      <c r="B868" s="175"/>
      <c r="C868" s="175"/>
      <c r="D868" s="175"/>
      <c r="E868" s="175"/>
      <c r="F868" s="175"/>
      <c r="G868" s="175"/>
      <c r="H868" s="175"/>
      <c r="I868" s="175"/>
      <c r="J868" s="175"/>
      <c r="K868" s="175"/>
      <c r="L868" s="175"/>
      <c r="M868" s="175"/>
      <c r="N868" s="175"/>
      <c r="O868" s="175"/>
      <c r="P868" s="175"/>
      <c r="Q868" s="175"/>
      <c r="R868" s="175"/>
      <c r="S868" s="175"/>
    </row>
    <row r="869" spans="1:19" ht="14.25" customHeight="1">
      <c r="A869" s="175"/>
      <c r="B869" s="175"/>
      <c r="C869" s="175"/>
      <c r="D869" s="175"/>
      <c r="E869" s="175"/>
      <c r="F869" s="175"/>
      <c r="G869" s="175"/>
      <c r="H869" s="175"/>
      <c r="I869" s="175"/>
      <c r="J869" s="175"/>
      <c r="K869" s="175"/>
      <c r="L869" s="175"/>
      <c r="M869" s="175"/>
      <c r="N869" s="175"/>
      <c r="O869" s="175"/>
      <c r="P869" s="175"/>
      <c r="Q869" s="175"/>
      <c r="R869" s="175"/>
      <c r="S869" s="175"/>
    </row>
    <row r="870" spans="1:19" ht="14.25" customHeight="1">
      <c r="A870" s="175"/>
      <c r="B870" s="175"/>
      <c r="C870" s="175"/>
      <c r="D870" s="175"/>
      <c r="E870" s="175"/>
      <c r="F870" s="175"/>
      <c r="G870" s="175"/>
      <c r="H870" s="175"/>
      <c r="I870" s="175"/>
      <c r="J870" s="175"/>
      <c r="K870" s="175"/>
      <c r="L870" s="175"/>
      <c r="M870" s="175"/>
      <c r="N870" s="175"/>
      <c r="O870" s="175"/>
      <c r="P870" s="175"/>
      <c r="Q870" s="175"/>
      <c r="R870" s="175"/>
      <c r="S870" s="175"/>
    </row>
    <row r="871" spans="1:19" ht="14.25" customHeight="1">
      <c r="A871" s="175"/>
      <c r="B871" s="175"/>
      <c r="C871" s="175"/>
      <c r="D871" s="175"/>
      <c r="E871" s="175"/>
      <c r="F871" s="175"/>
      <c r="G871" s="175"/>
      <c r="H871" s="175"/>
      <c r="I871" s="175"/>
      <c r="J871" s="175"/>
      <c r="K871" s="175"/>
      <c r="L871" s="175"/>
      <c r="M871" s="175"/>
      <c r="N871" s="175"/>
      <c r="O871" s="175"/>
      <c r="P871" s="175"/>
      <c r="Q871" s="175"/>
      <c r="R871" s="175"/>
      <c r="S871" s="175"/>
    </row>
    <row r="872" spans="1:19" ht="14.25" customHeight="1">
      <c r="A872" s="175"/>
      <c r="B872" s="175"/>
      <c r="C872" s="175"/>
      <c r="D872" s="175"/>
      <c r="E872" s="175"/>
      <c r="F872" s="175"/>
      <c r="G872" s="175"/>
      <c r="H872" s="175"/>
      <c r="I872" s="175"/>
      <c r="J872" s="175"/>
      <c r="K872" s="175"/>
      <c r="L872" s="175"/>
      <c r="M872" s="175"/>
      <c r="N872" s="175"/>
      <c r="O872" s="175"/>
      <c r="P872" s="175"/>
      <c r="Q872" s="175"/>
      <c r="R872" s="175"/>
      <c r="S872" s="175"/>
    </row>
    <row r="873" spans="1:19" ht="14.25" customHeight="1">
      <c r="A873" s="175"/>
      <c r="B873" s="175"/>
      <c r="C873" s="175"/>
      <c r="D873" s="175"/>
      <c r="E873" s="175"/>
      <c r="F873" s="175"/>
      <c r="G873" s="175"/>
      <c r="H873" s="175"/>
      <c r="I873" s="175"/>
      <c r="J873" s="175"/>
      <c r="K873" s="175"/>
      <c r="L873" s="175"/>
      <c r="M873" s="175"/>
      <c r="N873" s="175"/>
      <c r="O873" s="175"/>
      <c r="P873" s="175"/>
      <c r="Q873" s="175"/>
      <c r="R873" s="175"/>
      <c r="S873" s="175"/>
    </row>
    <row r="874" spans="1:19" ht="14.25" customHeight="1">
      <c r="A874" s="175"/>
      <c r="B874" s="175"/>
      <c r="C874" s="175"/>
      <c r="D874" s="175"/>
      <c r="E874" s="175"/>
      <c r="F874" s="175"/>
      <c r="G874" s="175"/>
      <c r="H874" s="175"/>
      <c r="I874" s="175"/>
      <c r="J874" s="175"/>
      <c r="K874" s="175"/>
      <c r="L874" s="175"/>
      <c r="M874" s="175"/>
      <c r="N874" s="175"/>
      <c r="O874" s="175"/>
      <c r="P874" s="175"/>
      <c r="Q874" s="175"/>
      <c r="R874" s="175"/>
      <c r="S874" s="175"/>
    </row>
    <row r="875" spans="1:19" ht="14.25" customHeight="1">
      <c r="A875" s="175"/>
      <c r="B875" s="175"/>
      <c r="C875" s="175"/>
      <c r="D875" s="175"/>
      <c r="E875" s="175"/>
      <c r="F875" s="175"/>
      <c r="G875" s="175"/>
      <c r="H875" s="175"/>
      <c r="I875" s="175"/>
      <c r="J875" s="175"/>
      <c r="K875" s="175"/>
      <c r="L875" s="175"/>
      <c r="M875" s="175"/>
      <c r="N875" s="175"/>
      <c r="O875" s="175"/>
      <c r="P875" s="175"/>
      <c r="Q875" s="175"/>
      <c r="R875" s="175"/>
      <c r="S875" s="175"/>
    </row>
    <row r="876" spans="1:19" ht="14.25" customHeight="1">
      <c r="A876" s="175"/>
      <c r="B876" s="175"/>
      <c r="C876" s="175"/>
      <c r="D876" s="175"/>
      <c r="E876" s="175"/>
      <c r="F876" s="175"/>
      <c r="G876" s="175"/>
      <c r="H876" s="175"/>
      <c r="I876" s="175"/>
      <c r="J876" s="175"/>
      <c r="K876" s="175"/>
      <c r="L876" s="175"/>
      <c r="M876" s="175"/>
      <c r="N876" s="175"/>
      <c r="O876" s="175"/>
      <c r="P876" s="175"/>
      <c r="Q876" s="175"/>
      <c r="R876" s="175"/>
      <c r="S876" s="175"/>
    </row>
    <row r="877" spans="1:19" ht="14.25" customHeight="1">
      <c r="A877" s="175"/>
      <c r="B877" s="175"/>
      <c r="C877" s="175"/>
      <c r="D877" s="175"/>
      <c r="E877" s="175"/>
      <c r="F877" s="175"/>
      <c r="G877" s="175"/>
      <c r="H877" s="175"/>
      <c r="I877" s="175"/>
      <c r="J877" s="175"/>
      <c r="K877" s="175"/>
      <c r="L877" s="175"/>
      <c r="M877" s="175"/>
      <c r="N877" s="175"/>
      <c r="O877" s="175"/>
      <c r="P877" s="175"/>
      <c r="Q877" s="175"/>
      <c r="R877" s="175"/>
      <c r="S877" s="175"/>
    </row>
    <row r="878" spans="1:19" ht="14.25" customHeight="1">
      <c r="A878" s="175"/>
      <c r="B878" s="175"/>
      <c r="C878" s="175"/>
      <c r="D878" s="175"/>
      <c r="E878" s="175"/>
      <c r="F878" s="175"/>
      <c r="G878" s="175"/>
      <c r="H878" s="175"/>
      <c r="I878" s="175"/>
      <c r="J878" s="175"/>
      <c r="K878" s="175"/>
      <c r="L878" s="175"/>
      <c r="M878" s="175"/>
      <c r="N878" s="175"/>
      <c r="O878" s="175"/>
      <c r="P878" s="175"/>
      <c r="Q878" s="175"/>
      <c r="R878" s="175"/>
      <c r="S878" s="175"/>
    </row>
    <row r="879" spans="1:19" ht="14.25" customHeight="1">
      <c r="A879" s="175"/>
      <c r="B879" s="175"/>
      <c r="C879" s="175"/>
      <c r="D879" s="175"/>
      <c r="E879" s="175"/>
      <c r="F879" s="175"/>
      <c r="G879" s="175"/>
      <c r="H879" s="175"/>
      <c r="I879" s="175"/>
      <c r="J879" s="175"/>
      <c r="K879" s="175"/>
      <c r="L879" s="175"/>
      <c r="M879" s="175"/>
      <c r="N879" s="175"/>
      <c r="O879" s="175"/>
      <c r="P879" s="175"/>
      <c r="Q879" s="175"/>
      <c r="R879" s="175"/>
      <c r="S879" s="175"/>
    </row>
    <row r="880" spans="1:19" ht="14.25" customHeight="1">
      <c r="A880" s="175"/>
      <c r="B880" s="175"/>
      <c r="C880" s="175"/>
      <c r="D880" s="175"/>
      <c r="E880" s="175"/>
      <c r="F880" s="175"/>
      <c r="G880" s="175"/>
      <c r="H880" s="175"/>
      <c r="I880" s="175"/>
      <c r="J880" s="175"/>
      <c r="K880" s="175"/>
      <c r="L880" s="175"/>
      <c r="M880" s="175"/>
      <c r="N880" s="175"/>
      <c r="O880" s="175"/>
      <c r="P880" s="175"/>
      <c r="Q880" s="175"/>
      <c r="R880" s="175"/>
      <c r="S880" s="175"/>
    </row>
    <row r="881" spans="1:19" ht="14.25" customHeight="1">
      <c r="A881" s="175"/>
      <c r="B881" s="175"/>
      <c r="C881" s="175"/>
      <c r="D881" s="175"/>
      <c r="E881" s="175"/>
      <c r="F881" s="175"/>
      <c r="G881" s="175"/>
      <c r="H881" s="175"/>
      <c r="I881" s="175"/>
      <c r="J881" s="175"/>
      <c r="K881" s="175"/>
      <c r="L881" s="175"/>
      <c r="M881" s="175"/>
      <c r="N881" s="175"/>
      <c r="O881" s="175"/>
      <c r="P881" s="175"/>
      <c r="Q881" s="175"/>
      <c r="R881" s="175"/>
      <c r="S881" s="175"/>
    </row>
    <row r="882" spans="1:19" ht="14.25" customHeight="1">
      <c r="A882" s="175"/>
      <c r="B882" s="175"/>
      <c r="C882" s="175"/>
      <c r="D882" s="175"/>
      <c r="E882" s="175"/>
      <c r="F882" s="175"/>
      <c r="G882" s="175"/>
      <c r="H882" s="175"/>
      <c r="I882" s="175"/>
      <c r="J882" s="175"/>
      <c r="K882" s="175"/>
      <c r="L882" s="175"/>
      <c r="M882" s="175"/>
      <c r="N882" s="175"/>
      <c r="O882" s="175"/>
      <c r="P882" s="175"/>
      <c r="Q882" s="175"/>
      <c r="R882" s="175"/>
      <c r="S882" s="175"/>
    </row>
    <row r="883" spans="1:19" ht="14.25" customHeight="1">
      <c r="A883" s="175"/>
      <c r="B883" s="175"/>
      <c r="C883" s="175"/>
      <c r="D883" s="175"/>
      <c r="E883" s="175"/>
      <c r="F883" s="175"/>
      <c r="G883" s="175"/>
      <c r="H883" s="175"/>
      <c r="I883" s="175"/>
      <c r="J883" s="175"/>
      <c r="K883" s="175"/>
      <c r="L883" s="175"/>
      <c r="M883" s="175"/>
      <c r="N883" s="175"/>
      <c r="O883" s="175"/>
      <c r="P883" s="175"/>
      <c r="Q883" s="175"/>
      <c r="R883" s="175"/>
      <c r="S883" s="175"/>
    </row>
    <row r="884" spans="1:19" ht="14.25" customHeight="1">
      <c r="A884" s="175"/>
      <c r="B884" s="175"/>
      <c r="C884" s="175"/>
      <c r="D884" s="175"/>
      <c r="E884" s="175"/>
      <c r="F884" s="175"/>
      <c r="G884" s="175"/>
      <c r="H884" s="175"/>
      <c r="I884" s="175"/>
      <c r="J884" s="175"/>
      <c r="K884" s="175"/>
      <c r="L884" s="175"/>
      <c r="M884" s="175"/>
      <c r="N884" s="175"/>
      <c r="O884" s="175"/>
      <c r="P884" s="175"/>
      <c r="Q884" s="175"/>
      <c r="R884" s="175"/>
      <c r="S884" s="175"/>
    </row>
    <row r="885" spans="1:19" ht="14.25" customHeight="1">
      <c r="A885" s="175"/>
      <c r="B885" s="175"/>
      <c r="C885" s="175"/>
      <c r="D885" s="175"/>
      <c r="E885" s="175"/>
      <c r="F885" s="175"/>
      <c r="G885" s="175"/>
      <c r="H885" s="175"/>
      <c r="I885" s="175"/>
      <c r="J885" s="175"/>
      <c r="K885" s="175"/>
      <c r="L885" s="175"/>
      <c r="M885" s="175"/>
      <c r="N885" s="175"/>
      <c r="O885" s="175"/>
      <c r="P885" s="175"/>
      <c r="Q885" s="175"/>
      <c r="R885" s="175"/>
      <c r="S885" s="175"/>
    </row>
    <row r="886" spans="1:19" ht="14.25" customHeight="1">
      <c r="A886" s="175"/>
      <c r="B886" s="175"/>
      <c r="C886" s="175"/>
      <c r="D886" s="175"/>
      <c r="E886" s="175"/>
      <c r="F886" s="175"/>
      <c r="G886" s="175"/>
      <c r="H886" s="175"/>
      <c r="I886" s="175"/>
      <c r="J886" s="175"/>
      <c r="K886" s="175"/>
      <c r="L886" s="175"/>
      <c r="M886" s="175"/>
      <c r="N886" s="175"/>
      <c r="O886" s="175"/>
      <c r="P886" s="175"/>
      <c r="Q886" s="175"/>
      <c r="R886" s="175"/>
      <c r="S886" s="175"/>
    </row>
    <row r="887" spans="1:19" ht="14.25" customHeight="1">
      <c r="A887" s="175"/>
      <c r="B887" s="175"/>
      <c r="C887" s="175"/>
      <c r="D887" s="175"/>
      <c r="E887" s="175"/>
      <c r="F887" s="175"/>
      <c r="G887" s="175"/>
      <c r="H887" s="175"/>
      <c r="I887" s="175"/>
      <c r="J887" s="175"/>
      <c r="K887" s="175"/>
      <c r="L887" s="175"/>
      <c r="M887" s="175"/>
      <c r="N887" s="175"/>
      <c r="O887" s="175"/>
      <c r="P887" s="175"/>
      <c r="Q887" s="175"/>
      <c r="R887" s="175"/>
      <c r="S887" s="175"/>
    </row>
    <row r="888" spans="1:19" ht="14.25" customHeight="1">
      <c r="A888" s="175"/>
      <c r="B888" s="175"/>
      <c r="C888" s="175"/>
      <c r="D888" s="175"/>
      <c r="E888" s="175"/>
      <c r="F888" s="175"/>
      <c r="G888" s="175"/>
      <c r="H888" s="175"/>
      <c r="I888" s="175"/>
      <c r="J888" s="175"/>
      <c r="K888" s="175"/>
      <c r="L888" s="175"/>
      <c r="M888" s="175"/>
      <c r="N888" s="175"/>
      <c r="O888" s="175"/>
      <c r="P888" s="175"/>
      <c r="Q888" s="175"/>
      <c r="R888" s="175"/>
      <c r="S888" s="175"/>
    </row>
    <row r="889" spans="1:19" ht="14.25" customHeight="1">
      <c r="A889" s="175"/>
      <c r="P889" s="175"/>
      <c r="Q889" s="175"/>
      <c r="R889" s="175"/>
      <c r="S889" s="175"/>
    </row>
    <row r="890" spans="1:19" ht="14.25" customHeight="1">
      <c r="A890" s="175"/>
      <c r="P890" s="175"/>
      <c r="Q890" s="175"/>
      <c r="R890" s="175"/>
      <c r="S890" s="175"/>
    </row>
    <row r="891" spans="1:19" ht="14.25" customHeight="1">
      <c r="A891" s="175"/>
      <c r="P891" s="175"/>
      <c r="Q891" s="175"/>
      <c r="R891" s="175"/>
      <c r="S891" s="175"/>
    </row>
    <row r="892" spans="1:19" ht="14.25" customHeight="1">
      <c r="A892" s="175"/>
      <c r="P892" s="175"/>
      <c r="Q892" s="175"/>
      <c r="R892" s="175"/>
      <c r="S892" s="175"/>
    </row>
    <row r="893" spans="1:19" ht="14.25" customHeight="1">
      <c r="A893" s="175"/>
      <c r="P893" s="175"/>
      <c r="Q893" s="175"/>
      <c r="R893" s="175"/>
      <c r="S893" s="175"/>
    </row>
    <row r="894" spans="1:19" ht="14.25" customHeight="1">
      <c r="A894" s="175"/>
      <c r="P894" s="175"/>
      <c r="Q894" s="175"/>
      <c r="R894" s="175"/>
      <c r="S894" s="175"/>
    </row>
    <row r="895" spans="1:19" ht="14.25" customHeight="1">
      <c r="A895" s="175"/>
      <c r="P895" s="175"/>
      <c r="Q895" s="175"/>
      <c r="R895" s="175"/>
      <c r="S895" s="175"/>
    </row>
    <row r="896" spans="1:19" ht="14.25" customHeight="1">
      <c r="A896" s="175"/>
      <c r="P896" s="175"/>
      <c r="Q896" s="175"/>
      <c r="R896" s="175"/>
      <c r="S896" s="175"/>
    </row>
    <row r="897" spans="1:19" ht="14.25" customHeight="1">
      <c r="A897" s="175"/>
      <c r="P897" s="175"/>
      <c r="Q897" s="175"/>
      <c r="R897" s="175"/>
      <c r="S897" s="175"/>
    </row>
    <row r="898" spans="1:19" ht="14.25" customHeight="1">
      <c r="A898" s="175"/>
      <c r="P898" s="175"/>
      <c r="Q898" s="175"/>
      <c r="R898" s="175"/>
      <c r="S898" s="175"/>
    </row>
    <row r="899" spans="1:19" ht="14.25" customHeight="1">
      <c r="A899" s="175"/>
      <c r="P899" s="175"/>
      <c r="Q899" s="175"/>
      <c r="R899" s="175"/>
      <c r="S899" s="175"/>
    </row>
    <row r="900" spans="1:19" ht="14.25" customHeight="1">
      <c r="A900" s="175"/>
      <c r="P900" s="175"/>
      <c r="Q900" s="175"/>
      <c r="R900" s="175"/>
      <c r="S900" s="175"/>
    </row>
    <row r="901" spans="1:19" ht="14.25" customHeight="1">
      <c r="A901" s="175"/>
      <c r="P901" s="175"/>
      <c r="Q901" s="175"/>
      <c r="R901" s="175"/>
      <c r="S901" s="175"/>
    </row>
  </sheetData>
  <sheetProtection algorithmName="SHA-512" hashValue="9gOFSzcdaOX7EyblfE5N7jzJ96rvBbqgmvuv2Nz0ELXmDn3ux6XlDEY8dE+12L8FbHrEkFjtaalM0pf9FvMBwQ==" saltValue="BVOzkaxzkdqu2op5pWu9Sw==" spinCount="100000" sheet="1" objects="1" scenarios="1"/>
  <mergeCells count="8">
    <mergeCell ref="D9:E9"/>
    <mergeCell ref="G9:H9"/>
    <mergeCell ref="J9:K9"/>
    <mergeCell ref="M9:N9"/>
    <mergeCell ref="D30:E30"/>
    <mergeCell ref="G30:H30"/>
    <mergeCell ref="J30:K30"/>
    <mergeCell ref="M30:N30"/>
  </mergeCells>
  <conditionalFormatting sqref="D11:E11 D15:E19 D21:E21 D23:E27 D32:E34 D37:E40 D47:D49 D52 D61:D62">
    <cfRule type="cellIs" dxfId="3" priority="1" operator="equal">
      <formula>0</formula>
    </cfRule>
    <cfRule type="containsBlanks" dxfId="2" priority="2">
      <formula>LEN(TRIM(D11))=0</formula>
    </cfRule>
  </conditionalFormatting>
  <conditionalFormatting sqref="G11:H11 J11:K11 M11:N11 G15:H19 J15:K19 M15:N19 G21:H21 J21:K21 M21:N21 G23:H27 J23:K27 M23:N27 G32:H34 J32:K34 M32:N34 G37:H40 J37:K40 M37:N40 G47:G49 J47:J49 M47:M49 G52 J52 M52 G61:G62 J61:J62 M61:M62">
    <cfRule type="cellIs" dxfId="1" priority="3" operator="equal">
      <formula>0</formula>
    </cfRule>
    <cfRule type="containsBlanks" dxfId="0" priority="4">
      <formula>LEN(TRIM(G11))=0</formula>
    </cfRule>
  </conditionalFormatting>
  <pageMargins left="0.7" right="0.7" top="0.75" bottom="0.75" header="0.3" footer="0.3"/>
  <pageSetup orientation="portrait" r:id="rId1"/>
  <headerFooter>
    <oddFooter>&amp;C&amp;1#&amp;"Calibri"&amp;12&amp;K008000Internal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2:N223"/>
  <sheetViews>
    <sheetView topLeftCell="A136" zoomScale="90" zoomScaleNormal="90" workbookViewId="0">
      <selection activeCell="C136" sqref="C136"/>
    </sheetView>
  </sheetViews>
  <sheetFormatPr defaultRowHeight="15"/>
  <cols>
    <col min="2" max="2" width="24.85546875" customWidth="1"/>
    <col min="4" max="4" width="12.85546875" customWidth="1"/>
  </cols>
  <sheetData>
    <row r="2" spans="2:14">
      <c r="B2" t="s">
        <v>770</v>
      </c>
      <c r="C2" t="s">
        <v>771</v>
      </c>
      <c r="N2" s="9"/>
    </row>
    <row r="3" spans="2:14">
      <c r="C3" t="s">
        <v>772</v>
      </c>
    </row>
    <row r="4" spans="2:14">
      <c r="C4" t="s">
        <v>773</v>
      </c>
    </row>
    <row r="6" spans="2:14">
      <c r="B6" t="s">
        <v>774</v>
      </c>
      <c r="C6" t="s">
        <v>771</v>
      </c>
    </row>
    <row r="7" spans="2:14">
      <c r="C7" t="s">
        <v>775</v>
      </c>
    </row>
    <row r="8" spans="2:14">
      <c r="C8" t="s">
        <v>776</v>
      </c>
    </row>
    <row r="10" spans="2:14">
      <c r="B10" t="s">
        <v>132</v>
      </c>
      <c r="C10" t="s">
        <v>771</v>
      </c>
    </row>
    <row r="11" spans="2:14">
      <c r="C11" t="s">
        <v>777</v>
      </c>
    </row>
    <row r="12" spans="2:14">
      <c r="C12" t="s">
        <v>778</v>
      </c>
    </row>
    <row r="13" spans="2:14">
      <c r="C13" t="s">
        <v>779</v>
      </c>
    </row>
    <row r="14" spans="2:14">
      <c r="C14" t="s">
        <v>780</v>
      </c>
    </row>
    <row r="15" spans="2:14">
      <c r="C15" t="s">
        <v>781</v>
      </c>
    </row>
    <row r="17" spans="2:3">
      <c r="B17" t="s">
        <v>136</v>
      </c>
      <c r="C17" t="s">
        <v>771</v>
      </c>
    </row>
    <row r="18" spans="2:3">
      <c r="C18" t="s">
        <v>782</v>
      </c>
    </row>
    <row r="19" spans="2:3">
      <c r="C19" t="s">
        <v>783</v>
      </c>
    </row>
    <row r="20" spans="2:3">
      <c r="C20" t="s">
        <v>784</v>
      </c>
    </row>
    <row r="21" spans="2:3">
      <c r="C21" t="s">
        <v>785</v>
      </c>
    </row>
    <row r="23" spans="2:3">
      <c r="B23" t="s">
        <v>786</v>
      </c>
      <c r="C23" t="s">
        <v>771</v>
      </c>
    </row>
    <row r="24" spans="2:3">
      <c r="C24" t="s">
        <v>787</v>
      </c>
    </row>
    <row r="25" spans="2:3">
      <c r="C25" t="s">
        <v>788</v>
      </c>
    </row>
    <row r="26" spans="2:3">
      <c r="C26" t="s">
        <v>789</v>
      </c>
    </row>
    <row r="30" spans="2:3">
      <c r="B30" t="s">
        <v>148</v>
      </c>
      <c r="C30" t="s">
        <v>771</v>
      </c>
    </row>
    <row r="31" spans="2:3">
      <c r="C31" t="s">
        <v>790</v>
      </c>
    </row>
    <row r="32" spans="2:3">
      <c r="C32" t="s">
        <v>791</v>
      </c>
    </row>
    <row r="33" spans="2:11">
      <c r="C33" t="s">
        <v>792</v>
      </c>
    </row>
    <row r="34" spans="2:11">
      <c r="C34" t="s">
        <v>793</v>
      </c>
    </row>
    <row r="35" spans="2:11">
      <c r="C35" t="s">
        <v>794</v>
      </c>
    </row>
    <row r="36" spans="2:11">
      <c r="C36" t="s">
        <v>795</v>
      </c>
    </row>
    <row r="37" spans="2:11">
      <c r="C37" t="s">
        <v>796</v>
      </c>
    </row>
    <row r="39" spans="2:11">
      <c r="B39" t="s">
        <v>797</v>
      </c>
      <c r="C39" s="1" t="s">
        <v>771</v>
      </c>
      <c r="D39" t="s">
        <v>771</v>
      </c>
      <c r="E39" t="s">
        <v>790</v>
      </c>
      <c r="F39" t="s">
        <v>791</v>
      </c>
      <c r="G39" t="s">
        <v>792</v>
      </c>
      <c r="H39" t="s">
        <v>793</v>
      </c>
      <c r="I39" t="s">
        <v>794</v>
      </c>
      <c r="J39" t="s">
        <v>795</v>
      </c>
      <c r="K39" t="s">
        <v>796</v>
      </c>
    </row>
    <row r="40" spans="2:11">
      <c r="C40" s="1" t="str">
        <f ca="1">OFFSET($D40,0,MATCH('Project Information'!$C$29,Lists!$D$39:$K$39,0)-1)</f>
        <v/>
      </c>
      <c r="D40" s="9" t="s">
        <v>798</v>
      </c>
      <c r="E40" t="s">
        <v>796</v>
      </c>
      <c r="F40" t="s">
        <v>796</v>
      </c>
      <c r="G40" t="s">
        <v>796</v>
      </c>
      <c r="H40" t="s">
        <v>799</v>
      </c>
      <c r="I40" t="s">
        <v>796</v>
      </c>
      <c r="J40" t="s">
        <v>796</v>
      </c>
      <c r="K40" t="s">
        <v>796</v>
      </c>
    </row>
    <row r="41" spans="2:11">
      <c r="C41" s="1" t="str">
        <f ca="1">OFFSET($D41,0,MATCH('Project Information'!$C$29,Lists!$D$39:$K$39,0)-1)</f>
        <v/>
      </c>
      <c r="D41" s="9" t="s">
        <v>798</v>
      </c>
      <c r="E41" s="9" t="s">
        <v>798</v>
      </c>
      <c r="F41" s="9" t="s">
        <v>798</v>
      </c>
      <c r="G41" s="9" t="s">
        <v>798</v>
      </c>
      <c r="H41" t="s">
        <v>800</v>
      </c>
      <c r="I41" s="9" t="s">
        <v>798</v>
      </c>
      <c r="J41" s="9" t="s">
        <v>798</v>
      </c>
      <c r="K41" s="9" t="s">
        <v>798</v>
      </c>
    </row>
    <row r="42" spans="2:11">
      <c r="C42" s="1" t="str">
        <f ca="1">OFFSET($D42,0,MATCH('Project Information'!$C$29,Lists!$D$39:$K$39,0)-1)</f>
        <v/>
      </c>
      <c r="D42" s="9" t="s">
        <v>798</v>
      </c>
      <c r="E42" s="9" t="s">
        <v>798</v>
      </c>
      <c r="F42" s="9" t="s">
        <v>798</v>
      </c>
      <c r="G42" s="9" t="s">
        <v>798</v>
      </c>
      <c r="H42" t="s">
        <v>801</v>
      </c>
      <c r="I42" s="9" t="s">
        <v>798</v>
      </c>
      <c r="J42" s="9" t="s">
        <v>798</v>
      </c>
      <c r="K42" s="9" t="s">
        <v>798</v>
      </c>
    </row>
    <row r="43" spans="2:11">
      <c r="C43" s="1" t="str">
        <f ca="1">OFFSET($D43,0,MATCH('Project Information'!$C$29,Lists!$D$39:$K$39,0)-1)</f>
        <v/>
      </c>
      <c r="D43" s="9" t="s">
        <v>798</v>
      </c>
      <c r="E43" s="9" t="s">
        <v>798</v>
      </c>
      <c r="F43" s="9" t="s">
        <v>798</v>
      </c>
      <c r="G43" s="9" t="s">
        <v>798</v>
      </c>
      <c r="H43" t="s">
        <v>796</v>
      </c>
      <c r="I43" s="9" t="s">
        <v>798</v>
      </c>
      <c r="J43" s="9" t="s">
        <v>798</v>
      </c>
      <c r="K43" s="9" t="s">
        <v>798</v>
      </c>
    </row>
    <row r="44" spans="2:11">
      <c r="C44" s="1" t="str">
        <f ca="1">OFFSET($D44,0,MATCH('Project Information'!$C$29,Lists!$D$39:$K$39,0)-1)</f>
        <v/>
      </c>
      <c r="D44" s="9" t="s">
        <v>798</v>
      </c>
      <c r="E44" s="9" t="s">
        <v>798</v>
      </c>
      <c r="F44" s="9" t="s">
        <v>798</v>
      </c>
      <c r="G44" s="9" t="s">
        <v>798</v>
      </c>
      <c r="H44" s="9" t="s">
        <v>798</v>
      </c>
      <c r="I44" s="9" t="s">
        <v>798</v>
      </c>
      <c r="J44" s="9" t="s">
        <v>798</v>
      </c>
      <c r="K44" s="9" t="s">
        <v>798</v>
      </c>
    </row>
    <row r="45" spans="2:11">
      <c r="C45" s="1"/>
      <c r="D45" s="9" t="s">
        <v>798</v>
      </c>
      <c r="E45" s="9" t="s">
        <v>798</v>
      </c>
      <c r="F45" t="s">
        <v>798</v>
      </c>
      <c r="G45" t="s">
        <v>798</v>
      </c>
      <c r="H45" s="9" t="s">
        <v>798</v>
      </c>
      <c r="K45" s="9" t="s">
        <v>798</v>
      </c>
    </row>
    <row r="46" spans="2:11">
      <c r="C46" s="1"/>
      <c r="D46" s="9" t="s">
        <v>798</v>
      </c>
      <c r="E46" s="9" t="s">
        <v>798</v>
      </c>
      <c r="F46" s="9" t="s">
        <v>798</v>
      </c>
      <c r="G46" s="9" t="s">
        <v>798</v>
      </c>
      <c r="H46" s="9" t="s">
        <v>798</v>
      </c>
      <c r="I46" t="s">
        <v>798</v>
      </c>
      <c r="K46" s="9" t="s">
        <v>798</v>
      </c>
    </row>
    <row r="47" spans="2:11">
      <c r="D47" s="9" t="s">
        <v>798</v>
      </c>
      <c r="E47" s="9" t="s">
        <v>798</v>
      </c>
      <c r="F47" s="9" t="s">
        <v>798</v>
      </c>
      <c r="G47" s="9" t="s">
        <v>798</v>
      </c>
      <c r="H47" s="9" t="s">
        <v>798</v>
      </c>
      <c r="I47" s="9" t="s">
        <v>798</v>
      </c>
    </row>
    <row r="49" spans="2:7">
      <c r="B49" t="s">
        <v>152</v>
      </c>
      <c r="C49" s="1" t="s">
        <v>771</v>
      </c>
      <c r="D49" t="s">
        <v>771</v>
      </c>
      <c r="E49" t="str">
        <f>H40</f>
        <v>Solid-electrode Batteries</v>
      </c>
      <c r="F49" t="s">
        <v>800</v>
      </c>
    </row>
    <row r="50" spans="2:7">
      <c r="C50" s="1" t="str">
        <f ca="1">IFERROR(OFFSET($D50,0,MATCH('Project Information'!$C$30,Lists!$D$49:$G$49,0)-1),"n/a")</f>
        <v>n/a</v>
      </c>
      <c r="D50" s="9" t="s">
        <v>798</v>
      </c>
      <c r="E50" t="s">
        <v>802</v>
      </c>
      <c r="F50" t="s">
        <v>803</v>
      </c>
    </row>
    <row r="51" spans="2:7">
      <c r="C51" s="1" t="str">
        <f ca="1">IFERROR(OFFSET($D51,0,MATCH('Project Information'!$C$30,Lists!$D$49:$G$49,0)-1),"")</f>
        <v/>
      </c>
      <c r="D51" s="9" t="s">
        <v>798</v>
      </c>
      <c r="E51" t="s">
        <v>804</v>
      </c>
      <c r="F51" t="s">
        <v>805</v>
      </c>
    </row>
    <row r="52" spans="2:7">
      <c r="C52" s="1" t="str">
        <f ca="1">IFERROR(OFFSET($D52,0,MATCH('Project Information'!$C$30,Lists!$D$49:$G$49,0)-1),"")</f>
        <v/>
      </c>
      <c r="D52" s="9" t="s">
        <v>798</v>
      </c>
      <c r="E52" t="s">
        <v>806</v>
      </c>
      <c r="F52" t="s">
        <v>807</v>
      </c>
    </row>
    <row r="53" spans="2:7">
      <c r="C53" s="1" t="str">
        <f ca="1">IFERROR(OFFSET($D53,0,MATCH('Project Information'!$C$30,Lists!$D$49:$G$49,0)-1),"")</f>
        <v/>
      </c>
      <c r="D53" s="9" t="s">
        <v>798</v>
      </c>
      <c r="E53" t="s">
        <v>808</v>
      </c>
      <c r="F53" s="9" t="s">
        <v>796</v>
      </c>
      <c r="G53" s="9" t="s">
        <v>798</v>
      </c>
    </row>
    <row r="54" spans="2:7">
      <c r="C54" s="1" t="str">
        <f ca="1">IFERROR(OFFSET($D54,0,MATCH('Project Information'!$C$30,Lists!$D$49:$G$49,0)-1),"")</f>
        <v/>
      </c>
      <c r="D54" s="9" t="s">
        <v>798</v>
      </c>
      <c r="E54" t="s">
        <v>796</v>
      </c>
      <c r="F54" s="9" t="s">
        <v>798</v>
      </c>
      <c r="G54" s="9" t="s">
        <v>798</v>
      </c>
    </row>
    <row r="56" spans="2:7">
      <c r="B56" t="s">
        <v>809</v>
      </c>
      <c r="C56" s="1" t="s">
        <v>771</v>
      </c>
      <c r="D56" t="s">
        <v>771</v>
      </c>
      <c r="E56" t="s">
        <v>804</v>
      </c>
    </row>
    <row r="57" spans="2:7">
      <c r="C57" s="1" t="str">
        <f ca="1">IFERROR(OFFSET($D57,0,MATCH('Project Information'!$C$31,Lists!$D$56:$E$56,0)-1),"n/a")</f>
        <v>n/a</v>
      </c>
      <c r="D57" s="9" t="s">
        <v>798</v>
      </c>
      <c r="E57" t="s">
        <v>810</v>
      </c>
    </row>
    <row r="58" spans="2:7">
      <c r="C58" s="1" t="str">
        <f ca="1">IFERROR(OFFSET($D58,0,MATCH('Project Information'!$C$31,Lists!$D$56:$E$56,0)-1),"")</f>
        <v/>
      </c>
      <c r="D58" s="9" t="s">
        <v>798</v>
      </c>
      <c r="E58" t="s">
        <v>811</v>
      </c>
    </row>
    <row r="59" spans="2:7">
      <c r="C59" s="1" t="str">
        <f ca="1">IFERROR(OFFSET($D59,0,MATCH('Project Information'!$C$31,Lists!$D$56:$E$56,0)-1),"")</f>
        <v/>
      </c>
      <c r="D59" s="9" t="s">
        <v>798</v>
      </c>
      <c r="E59" t="s">
        <v>812</v>
      </c>
    </row>
    <row r="60" spans="2:7">
      <c r="C60" s="1" t="str">
        <f ca="1">IFERROR(OFFSET($D60,0,MATCH('Project Information'!$C$31,Lists!$D$56:$E$56,0)-1),"")</f>
        <v/>
      </c>
      <c r="D60" s="9" t="s">
        <v>798</v>
      </c>
      <c r="E60" t="s">
        <v>813</v>
      </c>
    </row>
    <row r="61" spans="2:7">
      <c r="C61" s="1" t="str">
        <f ca="1">IFERROR(OFFSET($D61,0,MATCH('Project Information'!$C$31,Lists!$D$56:$E$56,0)-1),"")</f>
        <v/>
      </c>
      <c r="D61" s="9" t="s">
        <v>798</v>
      </c>
      <c r="E61" t="s">
        <v>814</v>
      </c>
    </row>
    <row r="62" spans="2:7">
      <c r="C62" s="1" t="str">
        <f ca="1">IFERROR(OFFSET($D62,0,MATCH('Project Information'!$C$31,Lists!$D$56:$E$56,0)-1),"")</f>
        <v/>
      </c>
      <c r="D62" s="9" t="s">
        <v>798</v>
      </c>
      <c r="E62" t="s">
        <v>815</v>
      </c>
    </row>
    <row r="63" spans="2:7">
      <c r="C63" s="1" t="str">
        <f ca="1">IFERROR(OFFSET($D63,0,MATCH('Project Information'!$C$31,Lists!$D$56:$E$56,0)-1),"")</f>
        <v/>
      </c>
      <c r="D63" s="9" t="s">
        <v>798</v>
      </c>
      <c r="E63" t="s">
        <v>796</v>
      </c>
    </row>
    <row r="65" spans="2:3">
      <c r="B65" t="s">
        <v>816</v>
      </c>
      <c r="C65" t="s">
        <v>771</v>
      </c>
    </row>
    <row r="66" spans="2:3">
      <c r="C66" t="s">
        <v>817</v>
      </c>
    </row>
    <row r="67" spans="2:3">
      <c r="C67" t="s">
        <v>818</v>
      </c>
    </row>
    <row r="68" spans="2:3">
      <c r="C68" t="s">
        <v>819</v>
      </c>
    </row>
    <row r="69" spans="2:3">
      <c r="C69" t="s">
        <v>820</v>
      </c>
    </row>
    <row r="70" spans="2:3">
      <c r="C70" t="s">
        <v>821</v>
      </c>
    </row>
    <row r="71" spans="2:3">
      <c r="C71" t="s">
        <v>822</v>
      </c>
    </row>
    <row r="74" spans="2:3">
      <c r="B74" t="s">
        <v>823</v>
      </c>
      <c r="C74" t="s">
        <v>771</v>
      </c>
    </row>
    <row r="75" spans="2:3">
      <c r="C75" t="s">
        <v>824</v>
      </c>
    </row>
    <row r="76" spans="2:3">
      <c r="C76" t="s">
        <v>825</v>
      </c>
    </row>
    <row r="77" spans="2:3">
      <c r="C77" t="s">
        <v>826</v>
      </c>
    </row>
    <row r="78" spans="2:3">
      <c r="C78" t="s">
        <v>827</v>
      </c>
    </row>
    <row r="83" spans="2:3">
      <c r="B83" t="s">
        <v>828</v>
      </c>
      <c r="C83" t="s">
        <v>771</v>
      </c>
    </row>
    <row r="84" spans="2:3">
      <c r="C84" t="s">
        <v>829</v>
      </c>
    </row>
    <row r="85" spans="2:3">
      <c r="C85" t="s">
        <v>830</v>
      </c>
    </row>
    <row r="86" spans="2:3">
      <c r="C86" t="s">
        <v>831</v>
      </c>
    </row>
    <row r="88" spans="2:3">
      <c r="B88" t="s">
        <v>832</v>
      </c>
      <c r="C88" t="s">
        <v>771</v>
      </c>
    </row>
    <row r="89" spans="2:3">
      <c r="C89" t="s">
        <v>833</v>
      </c>
    </row>
    <row r="90" spans="2:3">
      <c r="C90" t="s">
        <v>834</v>
      </c>
    </row>
    <row r="91" spans="2:3">
      <c r="C91" t="s">
        <v>835</v>
      </c>
    </row>
    <row r="92" spans="2:3">
      <c r="C92" t="s">
        <v>836</v>
      </c>
    </row>
    <row r="101" spans="2:3">
      <c r="B101" t="s">
        <v>837</v>
      </c>
      <c r="C101" t="s">
        <v>771</v>
      </c>
    </row>
    <row r="102" spans="2:3">
      <c r="C102" t="s">
        <v>838</v>
      </c>
    </row>
    <row r="103" spans="2:3">
      <c r="C103" t="s">
        <v>839</v>
      </c>
    </row>
    <row r="105" spans="2:3">
      <c r="B105" t="s">
        <v>840</v>
      </c>
      <c r="C105" t="s">
        <v>771</v>
      </c>
    </row>
    <row r="106" spans="2:3">
      <c r="C106" t="s">
        <v>841</v>
      </c>
    </row>
    <row r="107" spans="2:3">
      <c r="C107" t="s">
        <v>842</v>
      </c>
    </row>
    <row r="108" spans="2:3">
      <c r="C108" t="s">
        <v>843</v>
      </c>
    </row>
    <row r="109" spans="2:3">
      <c r="C109" t="s">
        <v>844</v>
      </c>
    </row>
    <row r="111" spans="2:3">
      <c r="B111" t="s">
        <v>845</v>
      </c>
      <c r="C111" t="s">
        <v>771</v>
      </c>
    </row>
    <row r="112" spans="2:3">
      <c r="C112" t="s">
        <v>846</v>
      </c>
    </row>
    <row r="113" spans="2:3">
      <c r="C113" t="s">
        <v>847</v>
      </c>
    </row>
    <row r="114" spans="2:3">
      <c r="C114" t="s">
        <v>848</v>
      </c>
    </row>
    <row r="115" spans="2:3">
      <c r="C115" t="s">
        <v>849</v>
      </c>
    </row>
    <row r="117" spans="2:3">
      <c r="B117" t="s">
        <v>850</v>
      </c>
      <c r="C117" t="s">
        <v>771</v>
      </c>
    </row>
    <row r="118" spans="2:3">
      <c r="C118" t="s">
        <v>851</v>
      </c>
    </row>
    <row r="119" spans="2:3">
      <c r="C119" t="s">
        <v>852</v>
      </c>
    </row>
    <row r="120" spans="2:3">
      <c r="C120" t="s">
        <v>853</v>
      </c>
    </row>
    <row r="121" spans="2:3">
      <c r="C121" t="s">
        <v>854</v>
      </c>
    </row>
    <row r="122" spans="2:3">
      <c r="C122" t="s">
        <v>855</v>
      </c>
    </row>
    <row r="123" spans="2:3">
      <c r="C123" t="s">
        <v>856</v>
      </c>
    </row>
    <row r="124" spans="2:3">
      <c r="C124" t="s">
        <v>857</v>
      </c>
    </row>
    <row r="125" spans="2:3">
      <c r="C125" t="s">
        <v>858</v>
      </c>
    </row>
    <row r="126" spans="2:3">
      <c r="C126" t="s">
        <v>859</v>
      </c>
    </row>
    <row r="128" spans="2:3">
      <c r="B128" t="s">
        <v>860</v>
      </c>
      <c r="C128" t="s">
        <v>771</v>
      </c>
    </row>
    <row r="129" spans="2:5">
      <c r="C129" t="s">
        <v>861</v>
      </c>
    </row>
    <row r="130" spans="2:5">
      <c r="C130" t="s">
        <v>862</v>
      </c>
    </row>
    <row r="132" spans="2:5">
      <c r="B132" t="s">
        <v>863</v>
      </c>
      <c r="C132" t="s">
        <v>771</v>
      </c>
    </row>
    <row r="133" spans="2:5">
      <c r="C133" t="s">
        <v>864</v>
      </c>
    </row>
    <row r="134" spans="2:5">
      <c r="C134" t="s">
        <v>865</v>
      </c>
    </row>
    <row r="136" spans="2:5">
      <c r="B136" t="s">
        <v>866</v>
      </c>
      <c r="C136" s="1" t="s">
        <v>771</v>
      </c>
      <c r="D136" t="s">
        <v>864</v>
      </c>
      <c r="E136" t="s">
        <v>865</v>
      </c>
    </row>
    <row r="137" spans="2:5">
      <c r="C137" s="1" t="str">
        <f ca="1">IFERROR(OFFSET($D137,0,MATCH(Proj_pi_8,$C$133:$C$134,0)-1),"n/a")</f>
        <v>n/a</v>
      </c>
      <c r="D137" t="s">
        <v>867</v>
      </c>
      <c r="E137" t="s">
        <v>867</v>
      </c>
    </row>
    <row r="138" spans="2:5">
      <c r="C138" s="1" t="str">
        <f t="shared" ref="C138:C169" ca="1" si="0">IFERROR(OFFSET($D138,0,MATCH(Proj_pi_8,$C$133:$C$134,0)-1),"")</f>
        <v/>
      </c>
      <c r="D138" t="s">
        <v>868</v>
      </c>
      <c r="E138" t="s">
        <v>869</v>
      </c>
    </row>
    <row r="139" spans="2:5">
      <c r="C139" s="1" t="str">
        <f t="shared" ca="1" si="0"/>
        <v/>
      </c>
      <c r="D139" t="s">
        <v>870</v>
      </c>
      <c r="E139" t="s">
        <v>871</v>
      </c>
    </row>
    <row r="140" spans="2:5">
      <c r="C140" s="1" t="str">
        <f t="shared" ca="1" si="0"/>
        <v/>
      </c>
      <c r="D140" t="s">
        <v>872</v>
      </c>
      <c r="E140" t="s">
        <v>796</v>
      </c>
    </row>
    <row r="141" spans="2:5">
      <c r="C141" s="1" t="str">
        <f t="shared" ca="1" si="0"/>
        <v/>
      </c>
      <c r="D141" t="s">
        <v>873</v>
      </c>
      <c r="E141" s="9" t="s">
        <v>798</v>
      </c>
    </row>
    <row r="142" spans="2:5">
      <c r="C142" s="1" t="str">
        <f t="shared" ca="1" si="0"/>
        <v/>
      </c>
      <c r="D142" t="s">
        <v>874</v>
      </c>
      <c r="E142" s="9" t="s">
        <v>798</v>
      </c>
    </row>
    <row r="143" spans="2:5">
      <c r="C143" s="1" t="str">
        <f t="shared" ca="1" si="0"/>
        <v/>
      </c>
      <c r="D143" t="s">
        <v>875</v>
      </c>
      <c r="E143" s="9" t="s">
        <v>798</v>
      </c>
    </row>
    <row r="144" spans="2:5">
      <c r="C144" s="1" t="str">
        <f t="shared" ca="1" si="0"/>
        <v/>
      </c>
      <c r="D144" t="s">
        <v>876</v>
      </c>
      <c r="E144" s="9" t="s">
        <v>798</v>
      </c>
    </row>
    <row r="145" spans="3:5">
      <c r="C145" s="1" t="str">
        <f t="shared" ca="1" si="0"/>
        <v/>
      </c>
      <c r="D145" t="s">
        <v>877</v>
      </c>
      <c r="E145" s="9" t="s">
        <v>798</v>
      </c>
    </row>
    <row r="146" spans="3:5">
      <c r="C146" s="1" t="str">
        <f t="shared" ca="1" si="0"/>
        <v/>
      </c>
      <c r="D146" t="s">
        <v>878</v>
      </c>
      <c r="E146" s="9" t="s">
        <v>798</v>
      </c>
    </row>
    <row r="147" spans="3:5">
      <c r="C147" s="1" t="str">
        <f t="shared" ca="1" si="0"/>
        <v/>
      </c>
      <c r="D147" t="s">
        <v>879</v>
      </c>
      <c r="E147" s="9" t="s">
        <v>798</v>
      </c>
    </row>
    <row r="148" spans="3:5">
      <c r="C148" s="1" t="str">
        <f t="shared" ca="1" si="0"/>
        <v/>
      </c>
      <c r="D148" t="s">
        <v>880</v>
      </c>
      <c r="E148" s="9" t="s">
        <v>798</v>
      </c>
    </row>
    <row r="149" spans="3:5">
      <c r="C149" s="1" t="str">
        <f t="shared" ca="1" si="0"/>
        <v/>
      </c>
      <c r="D149" t="s">
        <v>881</v>
      </c>
      <c r="E149" s="9" t="s">
        <v>798</v>
      </c>
    </row>
    <row r="150" spans="3:5">
      <c r="C150" s="1" t="str">
        <f t="shared" ca="1" si="0"/>
        <v/>
      </c>
      <c r="D150" t="s">
        <v>882</v>
      </c>
      <c r="E150" s="9" t="s">
        <v>798</v>
      </c>
    </row>
    <row r="151" spans="3:5">
      <c r="C151" s="1" t="str">
        <f t="shared" ca="1" si="0"/>
        <v/>
      </c>
      <c r="D151" t="s">
        <v>883</v>
      </c>
      <c r="E151" s="9" t="s">
        <v>798</v>
      </c>
    </row>
    <row r="152" spans="3:5">
      <c r="C152" s="1" t="str">
        <f t="shared" ca="1" si="0"/>
        <v/>
      </c>
      <c r="D152" t="s">
        <v>884</v>
      </c>
      <c r="E152" s="9" t="s">
        <v>798</v>
      </c>
    </row>
    <row r="153" spans="3:5">
      <c r="C153" s="1" t="str">
        <f t="shared" ca="1" si="0"/>
        <v/>
      </c>
      <c r="D153" t="s">
        <v>885</v>
      </c>
      <c r="E153" s="9" t="s">
        <v>798</v>
      </c>
    </row>
    <row r="154" spans="3:5">
      <c r="C154" s="1" t="str">
        <f t="shared" ca="1" si="0"/>
        <v/>
      </c>
      <c r="D154" t="s">
        <v>886</v>
      </c>
      <c r="E154" s="9" t="s">
        <v>798</v>
      </c>
    </row>
    <row r="155" spans="3:5">
      <c r="C155" s="1" t="str">
        <f t="shared" ca="1" si="0"/>
        <v/>
      </c>
      <c r="D155" t="s">
        <v>887</v>
      </c>
      <c r="E155" s="9" t="s">
        <v>798</v>
      </c>
    </row>
    <row r="156" spans="3:5">
      <c r="C156" s="1" t="str">
        <f t="shared" ca="1" si="0"/>
        <v/>
      </c>
      <c r="D156" t="s">
        <v>888</v>
      </c>
      <c r="E156" s="9" t="s">
        <v>798</v>
      </c>
    </row>
    <row r="157" spans="3:5">
      <c r="C157" s="1" t="str">
        <f t="shared" ca="1" si="0"/>
        <v/>
      </c>
      <c r="D157" t="s">
        <v>889</v>
      </c>
      <c r="E157" s="9" t="s">
        <v>798</v>
      </c>
    </row>
    <row r="158" spans="3:5">
      <c r="C158" s="1" t="str">
        <f t="shared" ca="1" si="0"/>
        <v/>
      </c>
      <c r="D158" t="s">
        <v>890</v>
      </c>
      <c r="E158" s="9" t="s">
        <v>798</v>
      </c>
    </row>
    <row r="159" spans="3:5">
      <c r="C159" s="1" t="str">
        <f t="shared" ca="1" si="0"/>
        <v/>
      </c>
      <c r="D159" t="s">
        <v>891</v>
      </c>
      <c r="E159" s="9" t="s">
        <v>798</v>
      </c>
    </row>
    <row r="160" spans="3:5">
      <c r="C160" s="1" t="str">
        <f t="shared" ca="1" si="0"/>
        <v/>
      </c>
      <c r="D160" t="s">
        <v>892</v>
      </c>
      <c r="E160" s="9" t="s">
        <v>798</v>
      </c>
    </row>
    <row r="161" spans="3:5">
      <c r="C161" s="1" t="str">
        <f t="shared" ca="1" si="0"/>
        <v/>
      </c>
      <c r="D161" t="s">
        <v>893</v>
      </c>
      <c r="E161" s="9" t="s">
        <v>798</v>
      </c>
    </row>
    <row r="162" spans="3:5">
      <c r="C162" s="1" t="str">
        <f t="shared" ca="1" si="0"/>
        <v/>
      </c>
      <c r="D162" t="s">
        <v>894</v>
      </c>
      <c r="E162" s="9" t="s">
        <v>798</v>
      </c>
    </row>
    <row r="163" spans="3:5">
      <c r="C163" s="1" t="str">
        <f t="shared" ca="1" si="0"/>
        <v/>
      </c>
      <c r="D163" t="s">
        <v>895</v>
      </c>
      <c r="E163" s="9" t="s">
        <v>798</v>
      </c>
    </row>
    <row r="164" spans="3:5">
      <c r="C164" s="1" t="str">
        <f t="shared" ca="1" si="0"/>
        <v/>
      </c>
      <c r="D164" t="s">
        <v>896</v>
      </c>
      <c r="E164" s="9" t="s">
        <v>798</v>
      </c>
    </row>
    <row r="165" spans="3:5">
      <c r="C165" s="1" t="str">
        <f t="shared" ca="1" si="0"/>
        <v/>
      </c>
      <c r="D165" t="s">
        <v>897</v>
      </c>
      <c r="E165" s="9" t="s">
        <v>798</v>
      </c>
    </row>
    <row r="166" spans="3:5">
      <c r="C166" s="1" t="str">
        <f t="shared" ca="1" si="0"/>
        <v/>
      </c>
      <c r="D166" t="s">
        <v>898</v>
      </c>
      <c r="E166" s="9" t="s">
        <v>798</v>
      </c>
    </row>
    <row r="167" spans="3:5">
      <c r="C167" s="1" t="str">
        <f t="shared" ca="1" si="0"/>
        <v/>
      </c>
      <c r="D167" t="s">
        <v>899</v>
      </c>
      <c r="E167" s="9" t="s">
        <v>798</v>
      </c>
    </row>
    <row r="168" spans="3:5">
      <c r="C168" s="1" t="str">
        <f t="shared" ca="1" si="0"/>
        <v/>
      </c>
      <c r="D168" t="s">
        <v>900</v>
      </c>
      <c r="E168" s="9" t="s">
        <v>798</v>
      </c>
    </row>
    <row r="169" spans="3:5">
      <c r="C169" s="1" t="str">
        <f t="shared" ca="1" si="0"/>
        <v/>
      </c>
      <c r="D169" t="s">
        <v>901</v>
      </c>
      <c r="E169" s="9" t="s">
        <v>798</v>
      </c>
    </row>
    <row r="170" spans="3:5">
      <c r="C170" s="1" t="str">
        <f t="shared" ref="C170:C201" ca="1" si="1">IFERROR(OFFSET($D170,0,MATCH(Proj_pi_8,$C$133:$C$134,0)-1),"")</f>
        <v/>
      </c>
      <c r="D170" t="s">
        <v>902</v>
      </c>
      <c r="E170" s="9" t="s">
        <v>798</v>
      </c>
    </row>
    <row r="171" spans="3:5">
      <c r="C171" s="1" t="str">
        <f t="shared" ca="1" si="1"/>
        <v/>
      </c>
      <c r="D171" t="s">
        <v>903</v>
      </c>
      <c r="E171" s="9" t="s">
        <v>798</v>
      </c>
    </row>
    <row r="172" spans="3:5">
      <c r="C172" s="1" t="str">
        <f t="shared" ca="1" si="1"/>
        <v/>
      </c>
      <c r="D172" t="s">
        <v>904</v>
      </c>
      <c r="E172" s="9" t="s">
        <v>798</v>
      </c>
    </row>
    <row r="173" spans="3:5">
      <c r="C173" s="1" t="str">
        <f t="shared" ca="1" si="1"/>
        <v/>
      </c>
      <c r="D173" t="s">
        <v>905</v>
      </c>
      <c r="E173" s="9" t="s">
        <v>798</v>
      </c>
    </row>
    <row r="174" spans="3:5">
      <c r="C174" s="1" t="str">
        <f t="shared" ca="1" si="1"/>
        <v/>
      </c>
      <c r="D174" t="s">
        <v>906</v>
      </c>
      <c r="E174" s="9" t="s">
        <v>798</v>
      </c>
    </row>
    <row r="175" spans="3:5">
      <c r="C175" s="1" t="str">
        <f t="shared" ca="1" si="1"/>
        <v/>
      </c>
      <c r="D175" t="s">
        <v>907</v>
      </c>
      <c r="E175" s="9" t="s">
        <v>798</v>
      </c>
    </row>
    <row r="176" spans="3:5">
      <c r="C176" s="1" t="str">
        <f t="shared" ca="1" si="1"/>
        <v/>
      </c>
      <c r="D176" t="s">
        <v>908</v>
      </c>
      <c r="E176" s="9" t="s">
        <v>798</v>
      </c>
    </row>
    <row r="177" spans="3:5">
      <c r="C177" s="1" t="str">
        <f t="shared" ca="1" si="1"/>
        <v/>
      </c>
      <c r="D177" t="s">
        <v>909</v>
      </c>
      <c r="E177" s="9" t="s">
        <v>798</v>
      </c>
    </row>
    <row r="178" spans="3:5">
      <c r="C178" s="1" t="str">
        <f t="shared" ca="1" si="1"/>
        <v/>
      </c>
      <c r="D178" t="s">
        <v>910</v>
      </c>
      <c r="E178" s="9" t="s">
        <v>798</v>
      </c>
    </row>
    <row r="179" spans="3:5">
      <c r="C179" s="1" t="str">
        <f t="shared" ca="1" si="1"/>
        <v/>
      </c>
      <c r="D179" t="s">
        <v>911</v>
      </c>
      <c r="E179" s="9" t="s">
        <v>798</v>
      </c>
    </row>
    <row r="180" spans="3:5">
      <c r="C180" s="1" t="str">
        <f t="shared" ca="1" si="1"/>
        <v/>
      </c>
      <c r="D180" t="s">
        <v>912</v>
      </c>
      <c r="E180" s="9" t="s">
        <v>798</v>
      </c>
    </row>
    <row r="181" spans="3:5">
      <c r="C181" s="1" t="str">
        <f t="shared" ca="1" si="1"/>
        <v/>
      </c>
      <c r="D181" t="s">
        <v>913</v>
      </c>
      <c r="E181" s="9" t="s">
        <v>798</v>
      </c>
    </row>
    <row r="182" spans="3:5">
      <c r="C182" s="1" t="str">
        <f t="shared" ca="1" si="1"/>
        <v/>
      </c>
      <c r="D182" t="s">
        <v>914</v>
      </c>
      <c r="E182" s="9" t="s">
        <v>798</v>
      </c>
    </row>
    <row r="183" spans="3:5">
      <c r="C183" s="1" t="str">
        <f t="shared" ca="1" si="1"/>
        <v/>
      </c>
      <c r="D183" t="s">
        <v>915</v>
      </c>
      <c r="E183" s="9" t="s">
        <v>798</v>
      </c>
    </row>
    <row r="184" spans="3:5">
      <c r="C184" s="1" t="str">
        <f t="shared" ca="1" si="1"/>
        <v/>
      </c>
      <c r="D184" t="s">
        <v>916</v>
      </c>
      <c r="E184" s="9" t="s">
        <v>798</v>
      </c>
    </row>
    <row r="185" spans="3:5">
      <c r="C185" s="1" t="str">
        <f t="shared" ca="1" si="1"/>
        <v/>
      </c>
      <c r="D185" t="s">
        <v>917</v>
      </c>
      <c r="E185" s="9" t="s">
        <v>798</v>
      </c>
    </row>
    <row r="186" spans="3:5">
      <c r="C186" s="1" t="str">
        <f t="shared" ca="1" si="1"/>
        <v/>
      </c>
      <c r="D186" t="s">
        <v>918</v>
      </c>
      <c r="E186" s="9" t="s">
        <v>798</v>
      </c>
    </row>
    <row r="187" spans="3:5">
      <c r="C187" s="1" t="str">
        <f t="shared" ca="1" si="1"/>
        <v/>
      </c>
      <c r="D187" t="s">
        <v>919</v>
      </c>
      <c r="E187" s="9" t="s">
        <v>798</v>
      </c>
    </row>
    <row r="188" spans="3:5">
      <c r="C188" s="1" t="str">
        <f t="shared" ca="1" si="1"/>
        <v/>
      </c>
      <c r="D188" t="s">
        <v>920</v>
      </c>
      <c r="E188" s="9" t="s">
        <v>798</v>
      </c>
    </row>
    <row r="189" spans="3:5">
      <c r="C189" s="1" t="str">
        <f t="shared" ca="1" si="1"/>
        <v/>
      </c>
      <c r="D189" t="s">
        <v>921</v>
      </c>
      <c r="E189" s="9" t="s">
        <v>798</v>
      </c>
    </row>
    <row r="190" spans="3:5">
      <c r="C190" s="1" t="str">
        <f t="shared" ca="1" si="1"/>
        <v/>
      </c>
      <c r="D190" t="s">
        <v>922</v>
      </c>
      <c r="E190" s="9" t="s">
        <v>798</v>
      </c>
    </row>
    <row r="191" spans="3:5">
      <c r="C191" s="1" t="str">
        <f t="shared" ca="1" si="1"/>
        <v/>
      </c>
      <c r="D191" t="s">
        <v>923</v>
      </c>
      <c r="E191" s="9" t="s">
        <v>798</v>
      </c>
    </row>
    <row r="192" spans="3:5">
      <c r="C192" s="1" t="str">
        <f t="shared" ca="1" si="1"/>
        <v/>
      </c>
      <c r="D192" t="s">
        <v>924</v>
      </c>
      <c r="E192" s="9" t="s">
        <v>798</v>
      </c>
    </row>
    <row r="193" spans="3:5">
      <c r="C193" s="1" t="str">
        <f t="shared" ca="1" si="1"/>
        <v/>
      </c>
      <c r="D193" t="s">
        <v>925</v>
      </c>
      <c r="E193" s="9" t="s">
        <v>798</v>
      </c>
    </row>
    <row r="194" spans="3:5">
      <c r="C194" s="1" t="str">
        <f t="shared" ca="1" si="1"/>
        <v/>
      </c>
      <c r="D194" t="s">
        <v>926</v>
      </c>
      <c r="E194" s="9" t="s">
        <v>798</v>
      </c>
    </row>
    <row r="195" spans="3:5">
      <c r="C195" s="1" t="str">
        <f t="shared" ca="1" si="1"/>
        <v/>
      </c>
      <c r="D195" t="s">
        <v>927</v>
      </c>
      <c r="E195" s="9" t="s">
        <v>798</v>
      </c>
    </row>
    <row r="196" spans="3:5">
      <c r="C196" s="1" t="str">
        <f t="shared" ca="1" si="1"/>
        <v/>
      </c>
      <c r="D196" t="s">
        <v>928</v>
      </c>
      <c r="E196" s="9" t="s">
        <v>798</v>
      </c>
    </row>
    <row r="197" spans="3:5">
      <c r="C197" s="1" t="str">
        <f t="shared" ca="1" si="1"/>
        <v/>
      </c>
      <c r="D197" t="s">
        <v>929</v>
      </c>
      <c r="E197" s="9" t="s">
        <v>798</v>
      </c>
    </row>
    <row r="198" spans="3:5">
      <c r="C198" s="1" t="str">
        <f t="shared" ca="1" si="1"/>
        <v/>
      </c>
      <c r="D198" t="s">
        <v>930</v>
      </c>
      <c r="E198" s="9" t="s">
        <v>798</v>
      </c>
    </row>
    <row r="199" spans="3:5">
      <c r="C199" s="1" t="str">
        <f t="shared" ca="1" si="1"/>
        <v/>
      </c>
      <c r="D199" t="s">
        <v>931</v>
      </c>
      <c r="E199" s="9" t="s">
        <v>798</v>
      </c>
    </row>
    <row r="200" spans="3:5">
      <c r="C200" s="1" t="str">
        <f t="shared" ca="1" si="1"/>
        <v/>
      </c>
      <c r="D200" t="s">
        <v>932</v>
      </c>
      <c r="E200" s="9" t="s">
        <v>798</v>
      </c>
    </row>
    <row r="201" spans="3:5">
      <c r="C201" s="1" t="str">
        <f t="shared" ca="1" si="1"/>
        <v/>
      </c>
      <c r="D201" t="s">
        <v>933</v>
      </c>
      <c r="E201" s="9" t="s">
        <v>798</v>
      </c>
    </row>
    <row r="202" spans="3:5">
      <c r="C202" s="1" t="str">
        <f t="shared" ref="C202:C219" ca="1" si="2">IFERROR(OFFSET($D202,0,MATCH(Proj_pi_8,$C$133:$C$134,0)-1),"")</f>
        <v/>
      </c>
      <c r="D202" t="s">
        <v>934</v>
      </c>
      <c r="E202" s="9" t="s">
        <v>798</v>
      </c>
    </row>
    <row r="203" spans="3:5">
      <c r="C203" s="1" t="str">
        <f t="shared" ca="1" si="2"/>
        <v/>
      </c>
      <c r="D203" t="s">
        <v>935</v>
      </c>
      <c r="E203" s="9" t="s">
        <v>798</v>
      </c>
    </row>
    <row r="204" spans="3:5">
      <c r="C204" s="1" t="str">
        <f t="shared" ca="1" si="2"/>
        <v/>
      </c>
      <c r="D204" t="s">
        <v>936</v>
      </c>
      <c r="E204" s="9" t="s">
        <v>798</v>
      </c>
    </row>
    <row r="205" spans="3:5">
      <c r="C205" s="1" t="str">
        <f t="shared" ca="1" si="2"/>
        <v/>
      </c>
      <c r="D205" t="s">
        <v>937</v>
      </c>
      <c r="E205" s="9" t="s">
        <v>798</v>
      </c>
    </row>
    <row r="206" spans="3:5">
      <c r="C206" s="1" t="str">
        <f t="shared" ca="1" si="2"/>
        <v/>
      </c>
      <c r="D206" t="s">
        <v>938</v>
      </c>
      <c r="E206" s="9" t="s">
        <v>798</v>
      </c>
    </row>
    <row r="207" spans="3:5">
      <c r="C207" s="1" t="str">
        <f t="shared" ca="1" si="2"/>
        <v/>
      </c>
      <c r="D207" t="s">
        <v>939</v>
      </c>
      <c r="E207" s="9" t="s">
        <v>798</v>
      </c>
    </row>
    <row r="208" spans="3:5">
      <c r="C208" s="1" t="str">
        <f t="shared" ca="1" si="2"/>
        <v/>
      </c>
      <c r="D208" t="s">
        <v>940</v>
      </c>
      <c r="E208" s="9" t="s">
        <v>798</v>
      </c>
    </row>
    <row r="209" spans="2:5">
      <c r="C209" s="1" t="str">
        <f t="shared" ca="1" si="2"/>
        <v/>
      </c>
      <c r="D209" t="s">
        <v>941</v>
      </c>
      <c r="E209" s="9" t="s">
        <v>798</v>
      </c>
    </row>
    <row r="210" spans="2:5">
      <c r="C210" s="1" t="str">
        <f t="shared" ca="1" si="2"/>
        <v/>
      </c>
      <c r="D210" t="s">
        <v>942</v>
      </c>
      <c r="E210" s="9" t="s">
        <v>798</v>
      </c>
    </row>
    <row r="211" spans="2:5">
      <c r="C211" s="1" t="str">
        <f t="shared" ca="1" si="2"/>
        <v/>
      </c>
      <c r="D211" t="s">
        <v>943</v>
      </c>
      <c r="E211" s="9" t="s">
        <v>798</v>
      </c>
    </row>
    <row r="212" spans="2:5">
      <c r="C212" s="1" t="str">
        <f t="shared" ca="1" si="2"/>
        <v/>
      </c>
      <c r="D212" t="s">
        <v>944</v>
      </c>
      <c r="E212" s="9" t="s">
        <v>798</v>
      </c>
    </row>
    <row r="213" spans="2:5">
      <c r="C213" s="1" t="str">
        <f t="shared" ca="1" si="2"/>
        <v/>
      </c>
      <c r="D213" t="s">
        <v>945</v>
      </c>
      <c r="E213" s="9" t="s">
        <v>798</v>
      </c>
    </row>
    <row r="214" spans="2:5">
      <c r="C214" s="1" t="str">
        <f t="shared" ca="1" si="2"/>
        <v/>
      </c>
      <c r="D214" t="s">
        <v>946</v>
      </c>
      <c r="E214" s="9" t="s">
        <v>798</v>
      </c>
    </row>
    <row r="215" spans="2:5">
      <c r="C215" s="1" t="str">
        <f t="shared" ca="1" si="2"/>
        <v/>
      </c>
      <c r="D215" t="s">
        <v>947</v>
      </c>
      <c r="E215" s="9" t="s">
        <v>798</v>
      </c>
    </row>
    <row r="216" spans="2:5">
      <c r="C216" s="1" t="str">
        <f t="shared" ca="1" si="2"/>
        <v/>
      </c>
      <c r="D216" t="s">
        <v>948</v>
      </c>
      <c r="E216" s="9" t="s">
        <v>798</v>
      </c>
    </row>
    <row r="217" spans="2:5">
      <c r="C217" s="1" t="str">
        <f t="shared" ca="1" si="2"/>
        <v/>
      </c>
      <c r="D217" t="s">
        <v>949</v>
      </c>
      <c r="E217" s="9" t="s">
        <v>798</v>
      </c>
    </row>
    <row r="218" spans="2:5">
      <c r="C218" s="1" t="str">
        <f t="shared" ca="1" si="2"/>
        <v/>
      </c>
      <c r="D218" t="s">
        <v>950</v>
      </c>
      <c r="E218" s="9" t="s">
        <v>798</v>
      </c>
    </row>
    <row r="219" spans="2:5">
      <c r="C219" s="1" t="str">
        <f t="shared" ca="1" si="2"/>
        <v/>
      </c>
      <c r="D219" t="s">
        <v>951</v>
      </c>
      <c r="E219" s="9" t="s">
        <v>798</v>
      </c>
    </row>
    <row r="221" spans="2:5">
      <c r="B221" t="s">
        <v>952</v>
      </c>
      <c r="C221" t="s">
        <v>771</v>
      </c>
    </row>
    <row r="222" spans="2:5">
      <c r="C222" t="s">
        <v>953</v>
      </c>
    </row>
    <row r="223" spans="2:5">
      <c r="C223" t="s">
        <v>954</v>
      </c>
      <c r="D223" t="s">
        <v>955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E6"/>
  <sheetViews>
    <sheetView workbookViewId="0">
      <selection activeCell="C5" sqref="C5"/>
    </sheetView>
  </sheetViews>
  <sheetFormatPr defaultRowHeight="15"/>
  <cols>
    <col min="2" max="2" width="24.140625" bestFit="1" customWidth="1"/>
    <col min="4" max="4" width="9.85546875" bestFit="1" customWidth="1"/>
    <col min="5" max="5" width="32.85546875" customWidth="1"/>
  </cols>
  <sheetData>
    <row r="2" spans="2:5">
      <c r="B2" s="3"/>
      <c r="C2" s="4" t="s">
        <v>956</v>
      </c>
      <c r="D2" s="4" t="s">
        <v>957</v>
      </c>
      <c r="E2" s="5" t="s">
        <v>958</v>
      </c>
    </row>
    <row r="3" spans="2:5">
      <c r="B3" s="17" t="s">
        <v>5</v>
      </c>
      <c r="C3">
        <f>COUNTIFS(All_Fields!$E$2:$E$382,"TRUE",All_Fields!$A$2:$A$382,Validation!$B3)</f>
        <v>40</v>
      </c>
      <c r="D3">
        <f>COUNTIFS(All_Fields!$E$2:$E$382,"FALSE",All_Fields!$A$2:$A$382,Validation!$B3)</f>
        <v>0</v>
      </c>
      <c r="E3" s="6" t="str">
        <f>D3&amp;" out of "&amp;SUM(C3:D3)&amp;" required fields completed."</f>
        <v>0 out of 40 required fields completed.</v>
      </c>
    </row>
    <row r="4" spans="2:5">
      <c r="B4" s="17" t="s">
        <v>115</v>
      </c>
      <c r="C4">
        <f>COUNTIFS(All_Fields!$E$2:$E$382,"TRUE",All_Fields!$A$2:$A$382,Validation!$B4)</f>
        <v>25</v>
      </c>
      <c r="D4">
        <f>COUNTIFS(All_Fields!$E$2:$E$382,"FALSE",All_Fields!$A$2:$A$382,Validation!$B4)</f>
        <v>2</v>
      </c>
      <c r="E4" s="6" t="str">
        <f t="shared" ref="E4:E6" si="0">D4&amp;" out of "&amp;SUM(C4:D4)&amp;" required fields completed."</f>
        <v>2 out of 27 required fields completed.</v>
      </c>
    </row>
    <row r="5" spans="2:5">
      <c r="B5" s="17" t="s">
        <v>214</v>
      </c>
      <c r="C5">
        <f>COUNTIFS(All_Fields!$E$2:$E$382,"TRUE",All_Fields!$A$2:$A$382,Validation!$B5)</f>
        <v>19</v>
      </c>
      <c r="D5">
        <f>COUNTIFS(All_Fields!$E$2:$E$382,"FALSE",All_Fields!$A$2:$A$382,Validation!$B5)</f>
        <v>0</v>
      </c>
      <c r="E5" s="6" t="str">
        <f t="shared" si="0"/>
        <v>0 out of 19 required fields completed.</v>
      </c>
    </row>
    <row r="6" spans="2:5">
      <c r="B6" s="18" t="s">
        <v>261</v>
      </c>
      <c r="C6" s="7">
        <f>COUNTIFS(All_Fields!$E$2:$E$382,"TRUE",All_Fields!$A$2:$A$382,Validation!$B6)</f>
        <v>43</v>
      </c>
      <c r="D6" s="7">
        <f>COUNTIFS(All_Fields!$E$2:$E$382,"FALSE",All_Fields!$A$2:$A$382,Validation!$B6)</f>
        <v>0</v>
      </c>
      <c r="E6" s="8" t="str">
        <f t="shared" si="0"/>
        <v>0 out of 43 required fields completed.</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B1:I34"/>
  <sheetViews>
    <sheetView showGridLines="0" zoomScaleNormal="100" workbookViewId="0">
      <selection activeCell="B7" sqref="B7"/>
    </sheetView>
  </sheetViews>
  <sheetFormatPr defaultRowHeight="15"/>
  <cols>
    <col min="1" max="1" width="7.85546875" customWidth="1"/>
    <col min="2" max="2" width="52" customWidth="1"/>
    <col min="3" max="3" width="15.85546875" customWidth="1"/>
  </cols>
  <sheetData>
    <row r="1" spans="2:9" ht="15.75" thickBot="1"/>
    <row r="2" spans="2:9" ht="18.75">
      <c r="B2" s="35" t="s">
        <v>959</v>
      </c>
      <c r="C2" s="36" t="s">
        <v>960</v>
      </c>
      <c r="D2" s="37"/>
      <c r="E2" s="37"/>
      <c r="F2" s="37"/>
      <c r="G2" s="37"/>
      <c r="H2" s="37"/>
      <c r="I2" s="38"/>
    </row>
    <row r="3" spans="2:9" ht="18.75">
      <c r="B3" s="39" t="s">
        <v>961</v>
      </c>
      <c r="C3" s="25" t="s">
        <v>962</v>
      </c>
      <c r="D3" s="26"/>
      <c r="E3" s="26"/>
      <c r="F3" s="26"/>
      <c r="I3" s="31"/>
    </row>
    <row r="4" spans="2:9" ht="15.75" thickBot="1">
      <c r="B4" s="40"/>
      <c r="C4" s="33"/>
      <c r="D4" s="33"/>
      <c r="E4" s="33"/>
      <c r="F4" s="33"/>
      <c r="G4" s="33"/>
      <c r="H4" s="33"/>
      <c r="I4" s="34"/>
    </row>
    <row r="5" spans="2:9" ht="15.75" thickBot="1"/>
    <row r="6" spans="2:9">
      <c r="B6" s="27" t="s">
        <v>963</v>
      </c>
      <c r="C6" s="28"/>
      <c r="D6" s="28"/>
      <c r="E6" s="28"/>
      <c r="F6" s="28"/>
      <c r="G6" s="28"/>
      <c r="H6" s="28"/>
      <c r="I6" s="29"/>
    </row>
    <row r="7" spans="2:9">
      <c r="B7" s="30" t="s">
        <v>964</v>
      </c>
      <c r="I7" s="31"/>
    </row>
    <row r="8" spans="2:9">
      <c r="B8" s="30" t="s">
        <v>965</v>
      </c>
      <c r="I8" s="31"/>
    </row>
    <row r="9" spans="2:9">
      <c r="B9" s="30" t="s">
        <v>966</v>
      </c>
      <c r="I9" s="31"/>
    </row>
    <row r="10" spans="2:9">
      <c r="B10" s="30" t="s">
        <v>967</v>
      </c>
      <c r="I10" s="31"/>
    </row>
    <row r="11" spans="2:9">
      <c r="B11" s="30" t="s">
        <v>968</v>
      </c>
      <c r="I11" s="31"/>
    </row>
    <row r="12" spans="2:9" ht="15.75" thickBot="1">
      <c r="B12" s="32" t="s">
        <v>969</v>
      </c>
      <c r="C12" s="33"/>
      <c r="D12" s="33"/>
      <c r="E12" s="33"/>
      <c r="F12" s="33"/>
      <c r="G12" s="33"/>
      <c r="H12" s="33"/>
      <c r="I12" s="34"/>
    </row>
    <row r="13" spans="2:9" ht="15.75" thickBot="1"/>
    <row r="14" spans="2:9">
      <c r="B14" s="27"/>
      <c r="C14" s="28"/>
      <c r="D14" s="28"/>
      <c r="E14" s="28"/>
      <c r="F14" s="28"/>
      <c r="G14" s="28"/>
      <c r="H14" s="28"/>
      <c r="I14" s="29"/>
    </row>
    <row r="15" spans="2:9">
      <c r="B15" s="41"/>
      <c r="I15" s="31"/>
    </row>
    <row r="16" spans="2:9">
      <c r="B16" s="249" t="s">
        <v>970</v>
      </c>
      <c r="I16" s="31"/>
    </row>
    <row r="17" spans="2:9">
      <c r="B17" s="249"/>
      <c r="I17" s="31"/>
    </row>
    <row r="18" spans="2:9">
      <c r="B18" s="42"/>
      <c r="I18" s="31"/>
    </row>
    <row r="19" spans="2:9">
      <c r="B19" s="249" t="s">
        <v>971</v>
      </c>
      <c r="C19" s="7" t="s">
        <v>771</v>
      </c>
      <c r="I19" s="31"/>
    </row>
    <row r="20" spans="2:9">
      <c r="B20" s="249"/>
      <c r="C20" s="4"/>
      <c r="I20" s="31"/>
    </row>
    <row r="21" spans="2:9">
      <c r="B21" s="42"/>
      <c r="I21" s="31"/>
    </row>
    <row r="22" spans="2:9">
      <c r="B22" s="30" t="s">
        <v>972</v>
      </c>
      <c r="C22" s="10"/>
      <c r="I22" s="31"/>
    </row>
    <row r="23" spans="2:9" ht="15.75" thickBot="1">
      <c r="B23" s="43"/>
      <c r="C23" s="33"/>
      <c r="D23" s="33"/>
      <c r="E23" s="33"/>
      <c r="F23" s="33"/>
      <c r="G23" s="33"/>
      <c r="H23" s="33"/>
      <c r="I23" s="34"/>
    </row>
    <row r="24" spans="2:9" ht="15.75" thickBot="1"/>
    <row r="25" spans="2:9" ht="15.75" thickBot="1">
      <c r="B25" s="75" t="s">
        <v>973</v>
      </c>
      <c r="C25" s="214" t="s">
        <v>974</v>
      </c>
      <c r="D25" s="250" t="s">
        <v>975</v>
      </c>
      <c r="E25" s="251"/>
      <c r="F25" s="91"/>
      <c r="G25" s="91"/>
      <c r="H25" s="91"/>
      <c r="I25" s="91"/>
    </row>
    <row r="26" spans="2:9">
      <c r="B26" s="209" t="s">
        <v>963</v>
      </c>
      <c r="C26" s="210" t="s">
        <v>976</v>
      </c>
      <c r="D26" s="252" t="s">
        <v>976</v>
      </c>
      <c r="E26" s="253"/>
    </row>
    <row r="27" spans="2:9">
      <c r="B27" s="211" t="s">
        <v>5</v>
      </c>
      <c r="C27" s="208" t="s">
        <v>977</v>
      </c>
      <c r="D27" s="245" t="s">
        <v>976</v>
      </c>
      <c r="E27" s="246"/>
    </row>
    <row r="28" spans="2:9">
      <c r="B28" s="211" t="s">
        <v>115</v>
      </c>
      <c r="C28" s="208" t="s">
        <v>977</v>
      </c>
      <c r="D28" s="245" t="s">
        <v>976</v>
      </c>
      <c r="E28" s="246"/>
    </row>
    <row r="29" spans="2:9">
      <c r="B29" s="211" t="s">
        <v>978</v>
      </c>
      <c r="C29" s="208" t="s">
        <v>979</v>
      </c>
      <c r="D29" s="245" t="s">
        <v>977</v>
      </c>
      <c r="E29" s="246"/>
    </row>
    <row r="30" spans="2:9">
      <c r="B30" s="211" t="s">
        <v>980</v>
      </c>
      <c r="C30" s="208" t="s">
        <v>979</v>
      </c>
      <c r="D30" s="245" t="s">
        <v>977</v>
      </c>
      <c r="E30" s="246"/>
    </row>
    <row r="31" spans="2:9">
      <c r="B31" s="211" t="s">
        <v>214</v>
      </c>
      <c r="C31" s="208" t="s">
        <v>979</v>
      </c>
      <c r="D31" s="245" t="s">
        <v>977</v>
      </c>
      <c r="E31" s="246"/>
    </row>
    <row r="32" spans="2:9">
      <c r="B32" s="211" t="s">
        <v>261</v>
      </c>
      <c r="C32" s="208" t="s">
        <v>976</v>
      </c>
      <c r="D32" s="245" t="s">
        <v>977</v>
      </c>
      <c r="E32" s="246"/>
    </row>
    <row r="33" spans="2:5">
      <c r="B33" s="211" t="s">
        <v>981</v>
      </c>
      <c r="C33" s="208" t="s">
        <v>976</v>
      </c>
      <c r="D33" s="245" t="s">
        <v>977</v>
      </c>
      <c r="E33" s="246"/>
    </row>
    <row r="34" spans="2:5" ht="15.75" thickBot="1">
      <c r="B34" s="212" t="s">
        <v>982</v>
      </c>
      <c r="C34" s="213" t="s">
        <v>976</v>
      </c>
      <c r="D34" s="247" t="s">
        <v>977</v>
      </c>
      <c r="E34" s="248"/>
    </row>
  </sheetData>
  <mergeCells count="12">
    <mergeCell ref="D33:E33"/>
    <mergeCell ref="D34:E34"/>
    <mergeCell ref="D32:E32"/>
    <mergeCell ref="D30:E30"/>
    <mergeCell ref="B16:B17"/>
    <mergeCell ref="B19:B20"/>
    <mergeCell ref="D25:E25"/>
    <mergeCell ref="D26:E26"/>
    <mergeCell ref="D27:E27"/>
    <mergeCell ref="D28:E28"/>
    <mergeCell ref="D31:E31"/>
    <mergeCell ref="D29:E29"/>
  </mergeCells>
  <conditionalFormatting sqref="C16">
    <cfRule type="containsBlanks" dxfId="108" priority="2">
      <formula>LEN(TRIM(C16))=0</formula>
    </cfRule>
  </conditionalFormatting>
  <conditionalFormatting sqref="C19">
    <cfRule type="containsText" dxfId="107" priority="1" operator="containsText" text="&lt;Choose&gt;">
      <formula>NOT(ISERROR(SEARCH("&lt;Choose&gt;",C19)))</formula>
    </cfRule>
  </conditionalFormatting>
  <dataValidations count="1">
    <dataValidation type="list" allowBlank="1" showInputMessage="1" showErrorMessage="1" sqref="C19" xr:uid="{00000000-0002-0000-0300-000000000000}">
      <formula1>"&lt;Choose&gt;,Yes,No"</formula1>
    </dataValidation>
  </dataValidations>
  <printOptions horizontalCentered="1"/>
  <pageMargins left="0" right="0" top="0" bottom="0" header="0" footer="0"/>
  <pageSetup scale="78"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fitToPage="1"/>
  </sheetPr>
  <dimension ref="A1:N78"/>
  <sheetViews>
    <sheetView showGridLines="0" zoomScaleNormal="100" zoomScaleSheetLayoutView="90" workbookViewId="0"/>
  </sheetViews>
  <sheetFormatPr defaultRowHeight="15"/>
  <cols>
    <col min="1" max="1" width="7.85546875" customWidth="1"/>
    <col min="2" max="2" width="32.140625" customWidth="1"/>
    <col min="3" max="3" width="40.85546875" customWidth="1"/>
    <col min="4" max="4" width="14.5703125" customWidth="1"/>
    <col min="5" max="5" width="30.85546875" customWidth="1"/>
    <col min="6" max="6" width="13" customWidth="1"/>
    <col min="7" max="7" width="40.85546875" customWidth="1"/>
    <col min="8" max="8" width="9.140625" customWidth="1"/>
    <col min="9" max="9" width="8.85546875" customWidth="1"/>
    <col min="10" max="10" width="2.85546875" customWidth="1"/>
    <col min="11" max="11" width="15.85546875" customWidth="1"/>
    <col min="12" max="12" width="10.5703125" customWidth="1"/>
    <col min="13" max="13" width="12.85546875" customWidth="1"/>
    <col min="14" max="14" width="11.140625" bestFit="1" customWidth="1"/>
  </cols>
  <sheetData>
    <row r="1" spans="1:8" ht="15.75" thickBot="1">
      <c r="A1" t="s">
        <v>983</v>
      </c>
    </row>
    <row r="2" spans="1:8" ht="18.75">
      <c r="B2" s="44" t="s">
        <v>984</v>
      </c>
      <c r="C2" s="37"/>
      <c r="D2" s="36" t="s">
        <v>960</v>
      </c>
      <c r="E2" s="45"/>
      <c r="F2" s="37"/>
      <c r="G2" s="37"/>
      <c r="H2" s="38"/>
    </row>
    <row r="3" spans="1:8" ht="18.75">
      <c r="B3" s="46" t="str">
        <f>+Instructions!B3</f>
        <v>Version 1.0 - April 7, 2025</v>
      </c>
      <c r="D3" s="25" t="s">
        <v>962</v>
      </c>
      <c r="H3" s="31"/>
    </row>
    <row r="4" spans="1:8" ht="15.75" thickBot="1">
      <c r="B4" s="40"/>
      <c r="C4" s="33"/>
      <c r="D4" s="33"/>
      <c r="E4" s="33"/>
      <c r="F4" s="33"/>
      <c r="G4" s="33"/>
      <c r="H4" s="34"/>
    </row>
    <row r="5" spans="1:8" ht="15.75" thickBot="1"/>
    <row r="6" spans="1:8">
      <c r="B6" s="27" t="s">
        <v>5</v>
      </c>
      <c r="C6" s="28"/>
      <c r="D6" s="28"/>
      <c r="E6" s="28"/>
      <c r="F6" s="28"/>
      <c r="G6" s="28"/>
      <c r="H6" s="29"/>
    </row>
    <row r="7" spans="1:8">
      <c r="B7" s="41"/>
      <c r="H7" s="31"/>
    </row>
    <row r="8" spans="1:8" ht="14.25" customHeight="1">
      <c r="B8" s="81" t="s">
        <v>985</v>
      </c>
      <c r="C8" s="11"/>
      <c r="H8" s="31"/>
    </row>
    <row r="9" spans="1:8">
      <c r="B9" s="61" t="s">
        <v>986</v>
      </c>
      <c r="C9" s="11"/>
      <c r="H9" s="31"/>
    </row>
    <row r="10" spans="1:8">
      <c r="B10" s="61" t="s">
        <v>987</v>
      </c>
      <c r="C10" s="11"/>
      <c r="H10" s="31"/>
    </row>
    <row r="11" spans="1:8">
      <c r="B11" s="61" t="s">
        <v>988</v>
      </c>
      <c r="C11" s="11"/>
      <c r="D11" s="20" t="s">
        <v>989</v>
      </c>
      <c r="E11" s="11"/>
      <c r="H11" s="31"/>
    </row>
    <row r="12" spans="1:8">
      <c r="B12" s="61" t="s">
        <v>990</v>
      </c>
      <c r="C12" s="11"/>
      <c r="H12" s="31"/>
    </row>
    <row r="13" spans="1:8">
      <c r="B13" s="61" t="s">
        <v>991</v>
      </c>
      <c r="C13" s="11"/>
      <c r="H13" s="31"/>
    </row>
    <row r="14" spans="1:8">
      <c r="B14" s="30"/>
      <c r="H14" s="31"/>
    </row>
    <row r="15" spans="1:8">
      <c r="B15" s="30" t="s">
        <v>992</v>
      </c>
      <c r="E15" s="13" t="s">
        <v>771</v>
      </c>
      <c r="H15" s="31"/>
    </row>
    <row r="16" spans="1:8">
      <c r="B16" s="30"/>
      <c r="E16" s="11"/>
      <c r="H16" s="31"/>
    </row>
    <row r="17" spans="2:14">
      <c r="B17" s="47" t="s">
        <v>993</v>
      </c>
      <c r="E17" s="86" t="s">
        <v>994</v>
      </c>
      <c r="H17" s="31"/>
    </row>
    <row r="18" spans="2:14">
      <c r="B18" s="61" t="s">
        <v>995</v>
      </c>
      <c r="C18" s="11"/>
      <c r="F18" s="20" t="s">
        <v>995</v>
      </c>
      <c r="G18" s="11"/>
      <c r="H18" s="31"/>
    </row>
    <row r="19" spans="2:14">
      <c r="B19" s="61" t="s">
        <v>996</v>
      </c>
      <c r="C19" s="11"/>
      <c r="F19" s="20" t="s">
        <v>996</v>
      </c>
      <c r="G19" s="11"/>
      <c r="H19" s="31"/>
    </row>
    <row r="20" spans="2:14">
      <c r="B20" s="61" t="s">
        <v>997</v>
      </c>
      <c r="C20" s="11"/>
      <c r="F20" s="20" t="s">
        <v>997</v>
      </c>
      <c r="G20" s="11"/>
      <c r="H20" s="31"/>
    </row>
    <row r="21" spans="2:14">
      <c r="B21" s="61" t="s">
        <v>998</v>
      </c>
      <c r="C21" s="11"/>
      <c r="F21" s="20" t="s">
        <v>998</v>
      </c>
      <c r="G21" s="11"/>
      <c r="H21" s="31"/>
    </row>
    <row r="22" spans="2:14">
      <c r="B22" s="61" t="s">
        <v>999</v>
      </c>
      <c r="C22" s="11"/>
      <c r="F22" s="20" t="s">
        <v>999</v>
      </c>
      <c r="G22" s="11"/>
      <c r="H22" s="31"/>
    </row>
    <row r="23" spans="2:14">
      <c r="B23" s="61" t="s">
        <v>1000</v>
      </c>
      <c r="C23" s="11"/>
      <c r="F23" s="20" t="s">
        <v>1000</v>
      </c>
      <c r="G23" s="11"/>
      <c r="H23" s="31"/>
    </row>
    <row r="24" spans="2:14" ht="15.75" thickBot="1">
      <c r="B24" s="43"/>
      <c r="C24" s="33"/>
      <c r="D24" s="33"/>
      <c r="E24" s="33"/>
      <c r="F24" s="33"/>
      <c r="G24" s="33"/>
      <c r="H24" s="34"/>
    </row>
    <row r="25" spans="2:14" ht="15.75" thickBot="1"/>
    <row r="26" spans="2:14">
      <c r="B26" s="27" t="s">
        <v>1001</v>
      </c>
      <c r="C26" s="28"/>
      <c r="D26" s="28"/>
      <c r="E26" s="28"/>
      <c r="F26" s="29"/>
      <c r="M26" s="1"/>
      <c r="N26" s="2"/>
    </row>
    <row r="27" spans="2:14">
      <c r="B27" s="30"/>
      <c r="F27" s="31"/>
      <c r="M27" s="1"/>
      <c r="N27" s="2"/>
    </row>
    <row r="28" spans="2:14">
      <c r="B28" s="61" t="s">
        <v>1002</v>
      </c>
      <c r="C28" s="11"/>
      <c r="F28" s="31"/>
      <c r="M28" s="1"/>
      <c r="N28" s="2"/>
    </row>
    <row r="29" spans="2:14">
      <c r="B29" s="61" t="s">
        <v>986</v>
      </c>
      <c r="C29" s="11"/>
      <c r="F29" s="31"/>
      <c r="M29" s="1"/>
      <c r="N29" s="2"/>
    </row>
    <row r="30" spans="2:14">
      <c r="B30" s="61" t="s">
        <v>987</v>
      </c>
      <c r="C30" s="11"/>
      <c r="F30" s="31"/>
      <c r="M30" s="1"/>
      <c r="N30" s="2"/>
    </row>
    <row r="31" spans="2:14">
      <c r="B31" s="61" t="s">
        <v>988</v>
      </c>
      <c r="C31" s="11"/>
      <c r="D31" s="20" t="s">
        <v>989</v>
      </c>
      <c r="E31" s="11"/>
      <c r="F31" s="31"/>
      <c r="M31" s="1"/>
      <c r="N31" s="2"/>
    </row>
    <row r="32" spans="2:14">
      <c r="B32" s="61" t="s">
        <v>990</v>
      </c>
      <c r="C32" s="11"/>
      <c r="F32" s="31"/>
      <c r="M32" s="1"/>
      <c r="N32" s="2"/>
    </row>
    <row r="33" spans="2:14">
      <c r="B33" s="61" t="s">
        <v>991</v>
      </c>
      <c r="C33" s="11"/>
      <c r="F33" s="31"/>
      <c r="M33" s="1"/>
      <c r="N33" s="2"/>
    </row>
    <row r="34" spans="2:14">
      <c r="B34" s="30"/>
      <c r="F34" s="31"/>
      <c r="M34" s="1"/>
      <c r="N34" s="2"/>
    </row>
    <row r="35" spans="2:14">
      <c r="B35" s="30" t="s">
        <v>1003</v>
      </c>
      <c r="E35" s="11" t="s">
        <v>771</v>
      </c>
      <c r="F35" s="31"/>
      <c r="M35" s="1"/>
      <c r="N35" s="2"/>
    </row>
    <row r="36" spans="2:14" ht="15.75" thickBot="1">
      <c r="B36" s="43"/>
      <c r="C36" s="33"/>
      <c r="D36" s="33"/>
      <c r="E36" s="48"/>
      <c r="F36" s="34"/>
      <c r="M36" s="1"/>
      <c r="N36" s="2"/>
    </row>
    <row r="37" spans="2:14" ht="15.75" thickBot="1">
      <c r="M37" s="1"/>
      <c r="N37" s="2"/>
    </row>
    <row r="38" spans="2:14">
      <c r="B38" s="27" t="s">
        <v>1004</v>
      </c>
      <c r="C38" s="50"/>
      <c r="D38" s="50"/>
      <c r="E38" s="50"/>
      <c r="F38" s="51"/>
    </row>
    <row r="39" spans="2:14" ht="16.5" customHeight="1">
      <c r="B39" s="79" t="s">
        <v>1005</v>
      </c>
      <c r="C39" s="78"/>
      <c r="F39" s="31"/>
    </row>
    <row r="40" spans="2:14">
      <c r="B40" s="30"/>
      <c r="C40" s="254" t="s">
        <v>1006</v>
      </c>
      <c r="D40" s="254"/>
      <c r="E40" s="13" t="s">
        <v>771</v>
      </c>
      <c r="F40" s="31"/>
    </row>
    <row r="41" spans="2:14">
      <c r="B41" s="30"/>
      <c r="C41" s="254" t="s">
        <v>1007</v>
      </c>
      <c r="D41" s="254"/>
      <c r="E41" s="13" t="s">
        <v>771</v>
      </c>
      <c r="F41" s="31"/>
    </row>
    <row r="42" spans="2:14">
      <c r="B42" s="30"/>
      <c r="C42" s="254" t="s">
        <v>1008</v>
      </c>
      <c r="D42" s="254"/>
      <c r="E42" s="11" t="s">
        <v>771</v>
      </c>
      <c r="F42" s="31"/>
    </row>
    <row r="43" spans="2:14">
      <c r="B43" s="30"/>
      <c r="C43" s="254" t="s">
        <v>1009</v>
      </c>
      <c r="D43" s="254"/>
      <c r="E43" s="11" t="s">
        <v>771</v>
      </c>
      <c r="F43" s="31"/>
    </row>
    <row r="44" spans="2:14" ht="15.75" thickBot="1">
      <c r="B44" s="43"/>
      <c r="C44" s="33"/>
      <c r="D44" s="33"/>
      <c r="E44" s="48"/>
      <c r="F44" s="34"/>
    </row>
    <row r="45" spans="2:14" ht="15.75" thickBot="1"/>
    <row r="46" spans="2:14">
      <c r="B46" s="27" t="s">
        <v>1010</v>
      </c>
      <c r="C46" s="28"/>
      <c r="D46" s="28"/>
      <c r="E46" s="28"/>
      <c r="F46" s="29"/>
    </row>
    <row r="47" spans="2:14">
      <c r="B47" s="30"/>
      <c r="C47" s="22" t="s">
        <v>1011</v>
      </c>
      <c r="D47" s="22" t="s">
        <v>1012</v>
      </c>
      <c r="E47" s="22" t="s">
        <v>1013</v>
      </c>
      <c r="F47" s="31"/>
    </row>
    <row r="48" spans="2:14">
      <c r="B48" s="30"/>
      <c r="C48" s="11"/>
      <c r="D48" s="11"/>
      <c r="E48" s="11"/>
      <c r="F48" s="52"/>
    </row>
    <row r="49" spans="2:9">
      <c r="B49" s="30"/>
      <c r="C49" s="11"/>
      <c r="D49" s="11"/>
      <c r="E49" s="11"/>
      <c r="F49" s="52"/>
    </row>
    <row r="50" spans="2:9">
      <c r="B50" s="30"/>
      <c r="C50" s="11"/>
      <c r="D50" s="11"/>
      <c r="E50" s="11"/>
      <c r="F50" s="52"/>
    </row>
    <row r="51" spans="2:9">
      <c r="B51" s="30"/>
      <c r="C51" s="11"/>
      <c r="D51" s="11"/>
      <c r="E51" s="11"/>
      <c r="F51" s="52"/>
    </row>
    <row r="52" spans="2:9">
      <c r="B52" s="30"/>
      <c r="C52" s="11"/>
      <c r="D52" s="11"/>
      <c r="E52" s="11"/>
      <c r="F52" s="52"/>
    </row>
    <row r="53" spans="2:9" ht="15.75" thickBot="1">
      <c r="B53" s="43"/>
      <c r="C53" s="33"/>
      <c r="D53" s="33"/>
      <c r="E53" s="33"/>
      <c r="F53" s="53"/>
    </row>
    <row r="54" spans="2:9" ht="20.85" customHeight="1" thickBot="1">
      <c r="D54" s="54">
        <f>SUM(D48:D53)</f>
        <v>0</v>
      </c>
      <c r="E54" s="55" t="str">
        <f>IF(SUM($D$48:$D$53)&lt;&gt;1,"Total must be 100%","")</f>
        <v>Total must be 100%</v>
      </c>
      <c r="F54" s="56"/>
    </row>
    <row r="55" spans="2:9" ht="14.85" customHeight="1" thickBot="1">
      <c r="D55" s="1"/>
      <c r="E55" s="2"/>
    </row>
    <row r="56" spans="2:9" ht="20.100000000000001" customHeight="1">
      <c r="B56" s="84" t="s">
        <v>1014</v>
      </c>
      <c r="C56" s="28"/>
      <c r="D56" s="28"/>
      <c r="E56" s="28"/>
      <c r="F56" s="28"/>
      <c r="G56" s="28"/>
      <c r="H56" s="28"/>
      <c r="I56" s="29"/>
    </row>
    <row r="57" spans="2:9">
      <c r="B57" s="30"/>
      <c r="I57" s="31"/>
    </row>
    <row r="58" spans="2:9">
      <c r="B58" s="49" t="s">
        <v>1015</v>
      </c>
      <c r="C58" s="78"/>
      <c r="I58" s="31"/>
    </row>
    <row r="59" spans="2:9" ht="42.6" customHeight="1">
      <c r="B59" s="256" t="s">
        <v>1016</v>
      </c>
      <c r="C59" s="257"/>
      <c r="D59" s="257"/>
      <c r="E59" s="257"/>
      <c r="F59" s="257"/>
      <c r="G59" s="257"/>
      <c r="H59" s="257"/>
      <c r="I59" s="82"/>
    </row>
    <row r="60" spans="2:9" ht="7.35" customHeight="1">
      <c r="B60" s="57"/>
      <c r="C60" s="85"/>
      <c r="D60" s="85"/>
      <c r="E60" s="85"/>
      <c r="F60" s="85"/>
      <c r="G60" s="85"/>
      <c r="H60" s="85"/>
      <c r="I60" s="82"/>
    </row>
    <row r="61" spans="2:9">
      <c r="B61" s="30"/>
      <c r="C61" s="11"/>
      <c r="D61" s="11"/>
      <c r="E61" s="255" t="s">
        <v>1017</v>
      </c>
      <c r="F61" s="255"/>
      <c r="G61" s="255"/>
      <c r="I61" s="31"/>
    </row>
    <row r="62" spans="2:9">
      <c r="B62" s="61" t="s">
        <v>1018</v>
      </c>
      <c r="C62" s="258"/>
      <c r="D62" s="258"/>
      <c r="E62" s="255"/>
      <c r="F62" s="255"/>
      <c r="G62" s="255"/>
      <c r="I62" s="31"/>
    </row>
    <row r="63" spans="2:9" ht="14.1" customHeight="1">
      <c r="B63" s="61" t="s">
        <v>997</v>
      </c>
      <c r="C63" s="258"/>
      <c r="D63" s="258"/>
      <c r="E63" s="255"/>
      <c r="F63" s="255"/>
      <c r="G63" s="255"/>
      <c r="H63" s="58" t="s">
        <v>771</v>
      </c>
      <c r="I63" s="31"/>
    </row>
    <row r="64" spans="2:9" ht="14.1" customHeight="1" thickBot="1">
      <c r="B64" s="43"/>
      <c r="C64" s="33"/>
      <c r="D64" s="33"/>
      <c r="E64" s="59"/>
      <c r="F64" s="59"/>
      <c r="G64" s="59"/>
      <c r="H64" s="83"/>
      <c r="I64" s="34"/>
    </row>
    <row r="65" spans="2:9" ht="15.75" thickBot="1"/>
    <row r="66" spans="2:9">
      <c r="B66" s="60" t="s">
        <v>1019</v>
      </c>
      <c r="C66" s="37"/>
      <c r="D66" s="37"/>
      <c r="E66" s="37"/>
      <c r="F66" s="37"/>
      <c r="G66" s="37"/>
      <c r="H66" s="37"/>
      <c r="I66" s="38"/>
    </row>
    <row r="67" spans="2:9" ht="30" customHeight="1">
      <c r="B67" s="256" t="s">
        <v>1020</v>
      </c>
      <c r="C67" s="257"/>
      <c r="D67" s="257"/>
      <c r="E67" s="257"/>
      <c r="F67" s="257"/>
      <c r="G67" s="257"/>
      <c r="H67" s="257"/>
      <c r="I67" s="82"/>
    </row>
    <row r="68" spans="2:9" ht="7.35" customHeight="1">
      <c r="B68" s="57"/>
      <c r="C68" s="85"/>
      <c r="D68" s="85"/>
      <c r="E68" s="85"/>
      <c r="F68" s="85"/>
      <c r="G68" s="85"/>
      <c r="H68" s="85"/>
      <c r="I68" s="82"/>
    </row>
    <row r="69" spans="2:9" ht="14.85" customHeight="1">
      <c r="B69" s="61" t="s">
        <v>1018</v>
      </c>
      <c r="C69" s="258"/>
      <c r="D69" s="258"/>
      <c r="E69" s="255" t="s">
        <v>1017</v>
      </c>
      <c r="F69" s="255"/>
      <c r="G69" s="255"/>
      <c r="I69" s="31"/>
    </row>
    <row r="70" spans="2:9" ht="14.85" customHeight="1">
      <c r="B70" s="61" t="s">
        <v>997</v>
      </c>
      <c r="C70" s="258"/>
      <c r="D70" s="258"/>
      <c r="E70" s="255"/>
      <c r="F70" s="255"/>
      <c r="G70" s="255"/>
      <c r="H70" s="58" t="s">
        <v>771</v>
      </c>
      <c r="I70" s="31"/>
    </row>
    <row r="71" spans="2:9" ht="14.85" customHeight="1" thickBot="1">
      <c r="B71" s="43"/>
      <c r="C71" s="33"/>
      <c r="D71" s="33"/>
      <c r="E71" s="59"/>
      <c r="F71" s="59"/>
      <c r="G71" s="59"/>
      <c r="H71" s="83"/>
      <c r="I71" s="34"/>
    </row>
    <row r="72" spans="2:9" ht="15.75" thickBot="1"/>
    <row r="73" spans="2:9">
      <c r="B73" s="60" t="s">
        <v>1021</v>
      </c>
      <c r="C73" s="37"/>
      <c r="D73" s="37"/>
      <c r="E73" s="37"/>
      <c r="F73" s="37"/>
      <c r="G73" s="37"/>
      <c r="H73" s="37"/>
      <c r="I73" s="38"/>
    </row>
    <row r="74" spans="2:9" ht="43.35" customHeight="1">
      <c r="B74" s="256" t="s">
        <v>1022</v>
      </c>
      <c r="C74" s="257"/>
      <c r="D74" s="257"/>
      <c r="E74" s="257"/>
      <c r="F74" s="257"/>
      <c r="G74" s="257"/>
      <c r="H74" s="257"/>
      <c r="I74" s="82"/>
    </row>
    <row r="75" spans="2:9" ht="12" customHeight="1">
      <c r="B75" s="57"/>
      <c r="C75" s="85"/>
      <c r="D75" s="85"/>
      <c r="E75" s="85"/>
      <c r="F75" s="85"/>
      <c r="G75" s="85"/>
      <c r="H75" s="85"/>
      <c r="I75" s="82"/>
    </row>
    <row r="76" spans="2:9" ht="14.85" customHeight="1">
      <c r="B76" s="61" t="s">
        <v>1018</v>
      </c>
      <c r="C76" s="258"/>
      <c r="D76" s="258"/>
      <c r="E76" s="255" t="s">
        <v>1017</v>
      </c>
      <c r="F76" s="255"/>
      <c r="G76" s="255"/>
      <c r="I76" s="31"/>
    </row>
    <row r="77" spans="2:9" ht="14.85" customHeight="1">
      <c r="B77" s="61" t="s">
        <v>997</v>
      </c>
      <c r="C77" s="258"/>
      <c r="D77" s="258"/>
      <c r="E77" s="255"/>
      <c r="F77" s="255"/>
      <c r="G77" s="255"/>
      <c r="H77" s="58" t="s">
        <v>771</v>
      </c>
      <c r="I77" s="31"/>
    </row>
    <row r="78" spans="2:9" ht="15.75" thickBot="1">
      <c r="B78" s="43"/>
      <c r="C78" s="33"/>
      <c r="D78" s="33"/>
      <c r="E78" s="33"/>
      <c r="F78" s="33"/>
      <c r="G78" s="33"/>
      <c r="H78" s="33"/>
      <c r="I78" s="34"/>
    </row>
  </sheetData>
  <sheetProtection algorithmName="SHA-512" hashValue="ScU6yUdqp8VXChfVGSg+ticcRSkXwGragtTffoWeG3dhTo5541qpqblCC2SAqw7Z8+SrqL29XLgOX9Nc8B6Mlw==" saltValue="zEUiGT9IdaWiY9UIChZzXg==" spinCount="100000" sheet="1" objects="1" scenarios="1"/>
  <mergeCells count="16">
    <mergeCell ref="C40:D40"/>
    <mergeCell ref="C41:D41"/>
    <mergeCell ref="C42:D42"/>
    <mergeCell ref="C43:D43"/>
    <mergeCell ref="E76:G77"/>
    <mergeCell ref="E61:G63"/>
    <mergeCell ref="E69:G70"/>
    <mergeCell ref="B59:H59"/>
    <mergeCell ref="B67:H67"/>
    <mergeCell ref="B74:H74"/>
    <mergeCell ref="C63:D63"/>
    <mergeCell ref="C70:D70"/>
    <mergeCell ref="C77:D77"/>
    <mergeCell ref="C62:D62"/>
    <mergeCell ref="C69:D69"/>
    <mergeCell ref="C76:D76"/>
  </mergeCells>
  <conditionalFormatting sqref="C8:C13">
    <cfRule type="containsBlanks" dxfId="106" priority="50">
      <formula>LEN(TRIM(C8))=0</formula>
    </cfRule>
  </conditionalFormatting>
  <conditionalFormatting sqref="C18:C23">
    <cfRule type="containsBlanks" dxfId="105" priority="49">
      <formula>LEN(TRIM(C18))=0</formula>
    </cfRule>
  </conditionalFormatting>
  <conditionalFormatting sqref="C28:C33">
    <cfRule type="containsBlanks" dxfId="104" priority="54">
      <formula>LEN(TRIM(C28))=0</formula>
    </cfRule>
  </conditionalFormatting>
  <conditionalFormatting sqref="C62:D63">
    <cfRule type="notContainsBlanks" dxfId="103" priority="1">
      <formula>LEN(TRIM(C62))&gt;0</formula>
    </cfRule>
    <cfRule type="containsBlanks" dxfId="102" priority="2">
      <formula>LEN(TRIM(C62))=0</formula>
    </cfRule>
  </conditionalFormatting>
  <conditionalFormatting sqref="C69:D70">
    <cfRule type="notContainsBlanks" dxfId="101" priority="12">
      <formula>LEN(TRIM(C69))&gt;0</formula>
    </cfRule>
    <cfRule type="containsBlanks" dxfId="100" priority="13">
      <formula>LEN(TRIM(C69))=0</formula>
    </cfRule>
  </conditionalFormatting>
  <conditionalFormatting sqref="C76:D77">
    <cfRule type="notContainsBlanks" dxfId="99" priority="8">
      <formula>LEN(TRIM(C76))&gt;0</formula>
    </cfRule>
    <cfRule type="containsBlanks" dxfId="98" priority="9">
      <formula>LEN(TRIM(C76))=0</formula>
    </cfRule>
  </conditionalFormatting>
  <conditionalFormatting sqref="C48:E52">
    <cfRule type="containsBlanks" dxfId="97" priority="34">
      <formula>LEN(TRIM(C48))=0</formula>
    </cfRule>
  </conditionalFormatting>
  <conditionalFormatting sqref="E11">
    <cfRule type="containsBlanks" dxfId="96" priority="52">
      <formula>LEN(TRIM(E11))=0</formula>
    </cfRule>
  </conditionalFormatting>
  <conditionalFormatting sqref="E15:E16">
    <cfRule type="containsText" dxfId="95" priority="37" operator="containsText" text="&lt;Choose&gt;">
      <formula>NOT(ISERROR(SEARCH("&lt;Choose&gt;",E15)))</formula>
    </cfRule>
  </conditionalFormatting>
  <conditionalFormatting sqref="E31">
    <cfRule type="containsBlanks" dxfId="94" priority="53">
      <formula>LEN(TRIM(E31))=0</formula>
    </cfRule>
  </conditionalFormatting>
  <conditionalFormatting sqref="E35:E36">
    <cfRule type="containsText" dxfId="93" priority="47" operator="containsText" text="&lt;Choose&gt;">
      <formula>NOT(ISERROR(SEARCH("&lt;Choose&gt;",E35)))</formula>
    </cfRule>
  </conditionalFormatting>
  <conditionalFormatting sqref="E40:E44">
    <cfRule type="containsText" dxfId="92" priority="44" operator="containsText" text="&lt;Choose&gt;">
      <formula>NOT(ISERROR(SEARCH("&lt;Choose&gt;",E40)))</formula>
    </cfRule>
  </conditionalFormatting>
  <conditionalFormatting sqref="G18:G23">
    <cfRule type="containsBlanks" dxfId="91" priority="48">
      <formula>LEN(TRIM(G18))=0</formula>
    </cfRule>
  </conditionalFormatting>
  <conditionalFormatting sqref="H63:H64">
    <cfRule type="containsText" dxfId="90" priority="43" operator="containsText" text="&lt;Choose&gt;">
      <formula>NOT(ISERROR(SEARCH("&lt;Choose&gt;",H63)))</formula>
    </cfRule>
  </conditionalFormatting>
  <conditionalFormatting sqref="H70:H71">
    <cfRule type="containsText" dxfId="89" priority="40" operator="containsText" text="&lt;Choose&gt;">
      <formula>NOT(ISERROR(SEARCH("&lt;Choose&gt;",H70)))</formula>
    </cfRule>
  </conditionalFormatting>
  <conditionalFormatting sqref="H77">
    <cfRule type="containsText" dxfId="88" priority="39" operator="containsText" text="&lt;Choose&gt;">
      <formula>NOT(ISERROR(SEARCH("&lt;Choose&gt;",H77)))</formula>
    </cfRule>
  </conditionalFormatting>
  <dataValidations count="1">
    <dataValidation type="list" allowBlank="1" showInputMessage="1" showErrorMessage="1" sqref="E35:E36 E15:E16 H63:H64 H70:H71 H77 E40:E44" xr:uid="{00000000-0002-0000-0400-000000000000}">
      <formula1>"&lt;Choose&gt;,Yes,No"</formula1>
    </dataValidation>
  </dataValidations>
  <printOptions horizontalCentered="1"/>
  <pageMargins left="0" right="0" top="0" bottom="0" header="0" footer="0"/>
  <pageSetup scale="53" orientation="portrait" horizont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H95"/>
  <sheetViews>
    <sheetView showGridLines="0" topLeftCell="A21" zoomScaleNormal="100" workbookViewId="0">
      <selection activeCell="B57" sqref="B57"/>
    </sheetView>
  </sheetViews>
  <sheetFormatPr defaultColWidth="8.85546875" defaultRowHeight="15"/>
  <cols>
    <col min="1" max="1" width="7.85546875" customWidth="1"/>
    <col min="2" max="2" width="49" customWidth="1"/>
    <col min="3" max="3" width="47.5703125" bestFit="1" customWidth="1"/>
    <col min="4" max="4" width="28.140625" customWidth="1"/>
    <col min="5" max="5" width="1.85546875" bestFit="1" customWidth="1"/>
    <col min="6" max="6" width="28.140625" bestFit="1" customWidth="1"/>
    <col min="7" max="7" width="21.140625" customWidth="1"/>
    <col min="8" max="8" width="6.85546875" customWidth="1"/>
  </cols>
  <sheetData>
    <row r="1" spans="2:8" ht="15.75" thickBot="1"/>
    <row r="2" spans="2:8" ht="18.75">
      <c r="B2" s="44" t="s">
        <v>1023</v>
      </c>
      <c r="C2" s="36" t="s">
        <v>960</v>
      </c>
      <c r="D2" s="37"/>
      <c r="E2" s="37"/>
      <c r="F2" s="37"/>
      <c r="G2" s="37"/>
      <c r="H2" s="38"/>
    </row>
    <row r="3" spans="2:8" ht="18.75">
      <c r="B3" s="46" t="str">
        <f>+Instructions!B3</f>
        <v>Version 1.0 - April 7, 2025</v>
      </c>
      <c r="C3" s="25" t="s">
        <v>962</v>
      </c>
      <c r="H3" s="31"/>
    </row>
    <row r="4" spans="2:8" ht="15.75" thickBot="1">
      <c r="B4" s="40"/>
      <c r="C4" s="33"/>
      <c r="D4" s="33"/>
      <c r="E4" s="33"/>
      <c r="F4" s="33"/>
      <c r="G4" s="33"/>
      <c r="H4" s="34"/>
    </row>
    <row r="5" spans="2:8" ht="15.75" thickBot="1"/>
    <row r="6" spans="2:8">
      <c r="B6" s="27" t="s">
        <v>115</v>
      </c>
      <c r="C6" s="28"/>
      <c r="D6" s="28"/>
      <c r="E6" s="28"/>
      <c r="F6" s="28"/>
      <c r="G6" s="28"/>
      <c r="H6" s="29"/>
    </row>
    <row r="7" spans="2:8">
      <c r="B7" s="41"/>
      <c r="H7" s="31"/>
    </row>
    <row r="8" spans="2:8">
      <c r="B8" s="61" t="s">
        <v>1024</v>
      </c>
      <c r="C8" s="21"/>
      <c r="H8" s="31"/>
    </row>
    <row r="9" spans="2:8">
      <c r="B9" s="61" t="s">
        <v>986</v>
      </c>
      <c r="C9" s="11"/>
      <c r="H9" s="31"/>
    </row>
    <row r="10" spans="2:8">
      <c r="B10" s="61" t="s">
        <v>988</v>
      </c>
      <c r="C10" s="11"/>
      <c r="H10" s="31"/>
    </row>
    <row r="11" spans="2:8">
      <c r="B11" s="61" t="s">
        <v>987</v>
      </c>
      <c r="C11" s="11"/>
      <c r="F11" s="20" t="s">
        <v>989</v>
      </c>
      <c r="G11" s="11"/>
      <c r="H11" s="31"/>
    </row>
    <row r="12" spans="2:8">
      <c r="B12" s="61" t="s">
        <v>1025</v>
      </c>
      <c r="C12" s="11"/>
      <c r="F12" s="20" t="s">
        <v>1026</v>
      </c>
      <c r="G12" s="11"/>
      <c r="H12" s="31"/>
    </row>
    <row r="13" spans="2:8">
      <c r="B13" s="61"/>
      <c r="H13" s="31"/>
    </row>
    <row r="14" spans="2:8">
      <c r="B14" s="61" t="s">
        <v>1027</v>
      </c>
      <c r="C14" s="12" t="s">
        <v>771</v>
      </c>
      <c r="H14" s="31"/>
    </row>
    <row r="15" spans="2:8">
      <c r="B15" s="61" t="s">
        <v>1028</v>
      </c>
      <c r="C15" s="11"/>
      <c r="H15" s="31"/>
    </row>
    <row r="16" spans="2:8">
      <c r="B16" s="61" t="s">
        <v>1029</v>
      </c>
      <c r="C16" s="11"/>
      <c r="H16" s="31"/>
    </row>
    <row r="17" spans="2:8">
      <c r="B17" s="61" t="s">
        <v>1030</v>
      </c>
      <c r="C17" s="11"/>
      <c r="H17" s="31"/>
    </row>
    <row r="18" spans="2:8">
      <c r="B18" s="61" t="s">
        <v>1031</v>
      </c>
      <c r="C18" s="11"/>
      <c r="H18" s="31"/>
    </row>
    <row r="19" spans="2:8">
      <c r="B19" s="61"/>
      <c r="C19" s="24"/>
      <c r="H19" s="31"/>
    </row>
    <row r="20" spans="2:8">
      <c r="B20" s="61" t="s">
        <v>1032</v>
      </c>
      <c r="C20" s="12" t="s">
        <v>771</v>
      </c>
      <c r="D20" s="19"/>
      <c r="H20" s="31"/>
    </row>
    <row r="21" spans="2:8">
      <c r="B21" s="61" t="s">
        <v>1033</v>
      </c>
      <c r="C21" s="12" t="s">
        <v>771</v>
      </c>
      <c r="D21" s="19"/>
      <c r="H21" s="31"/>
    </row>
    <row r="22" spans="2:8">
      <c r="B22" s="61" t="s">
        <v>1034</v>
      </c>
      <c r="C22" s="12" t="s">
        <v>771</v>
      </c>
      <c r="D22" s="19"/>
      <c r="H22" s="31"/>
    </row>
    <row r="23" spans="2:8">
      <c r="B23" s="61" t="s">
        <v>1035</v>
      </c>
      <c r="C23" s="11"/>
      <c r="D23" s="19"/>
      <c r="H23" s="31"/>
    </row>
    <row r="24" spans="2:8" ht="15.75" thickBot="1">
      <c r="B24" s="43"/>
      <c r="C24" s="63"/>
      <c r="D24" s="33"/>
      <c r="E24" s="33"/>
      <c r="F24" s="33"/>
      <c r="G24" s="33"/>
      <c r="H24" s="34"/>
    </row>
    <row r="25" spans="2:8">
      <c r="C25" s="24"/>
    </row>
    <row r="26" spans="2:8" ht="15.6" customHeight="1" thickBot="1">
      <c r="B26" s="1"/>
    </row>
    <row r="27" spans="2:8">
      <c r="B27" s="27" t="s">
        <v>1036</v>
      </c>
      <c r="C27" s="28"/>
      <c r="D27" s="64"/>
      <c r="E27" s="28"/>
      <c r="F27" s="28"/>
      <c r="G27" s="28"/>
      <c r="H27" s="29"/>
    </row>
    <row r="28" spans="2:8">
      <c r="B28" s="41"/>
      <c r="D28" s="19"/>
      <c r="H28" s="31"/>
    </row>
    <row r="29" spans="2:8">
      <c r="B29" s="61" t="s">
        <v>1037</v>
      </c>
      <c r="C29" s="12" t="s">
        <v>771</v>
      </c>
      <c r="D29" s="19"/>
      <c r="F29" s="14" t="s">
        <v>1038</v>
      </c>
      <c r="G29" s="87"/>
      <c r="H29" s="31"/>
    </row>
    <row r="30" spans="2:8">
      <c r="B30" s="61" t="s">
        <v>1039</v>
      </c>
      <c r="C30" s="11"/>
      <c r="D30" s="19"/>
      <c r="F30" s="14" t="s">
        <v>1040</v>
      </c>
      <c r="G30" s="87"/>
      <c r="H30" s="31"/>
    </row>
    <row r="31" spans="2:8">
      <c r="B31" s="61" t="s">
        <v>152</v>
      </c>
      <c r="C31" s="11"/>
      <c r="D31" s="19"/>
      <c r="F31" s="14" t="s">
        <v>1041</v>
      </c>
      <c r="G31" s="14"/>
      <c r="H31" s="31"/>
    </row>
    <row r="32" spans="2:8">
      <c r="B32" s="61" t="s">
        <v>1042</v>
      </c>
      <c r="C32" s="12" t="s">
        <v>771</v>
      </c>
      <c r="D32" s="19"/>
      <c r="F32" s="14" t="s">
        <v>1043</v>
      </c>
      <c r="G32" s="87"/>
      <c r="H32" s="31"/>
    </row>
    <row r="33" spans="2:8">
      <c r="B33" s="61" t="s">
        <v>1044</v>
      </c>
      <c r="C33" s="11"/>
      <c r="D33" s="19"/>
      <c r="F33" s="14"/>
      <c r="G33" s="87"/>
      <c r="H33" s="31"/>
    </row>
    <row r="34" spans="2:8">
      <c r="B34" s="61" t="s">
        <v>1045</v>
      </c>
      <c r="C34" s="11"/>
      <c r="D34" s="19"/>
      <c r="F34" s="14"/>
      <c r="G34" s="87"/>
      <c r="H34" s="31"/>
    </row>
    <row r="35" spans="2:8">
      <c r="B35" s="61" t="s">
        <v>1046</v>
      </c>
      <c r="C35" s="11"/>
      <c r="D35" s="19"/>
      <c r="F35" s="14"/>
      <c r="G35" s="87"/>
      <c r="H35" s="31"/>
    </row>
    <row r="36" spans="2:8" ht="15.75" thickBot="1">
      <c r="B36" s="43"/>
      <c r="C36" s="33"/>
      <c r="D36" s="65"/>
      <c r="E36" s="33"/>
      <c r="F36" s="33"/>
      <c r="G36" s="33"/>
      <c r="H36" s="34"/>
    </row>
    <row r="38" spans="2:8" ht="15.75" thickBot="1"/>
    <row r="39" spans="2:8">
      <c r="B39" s="27" t="s">
        <v>1047</v>
      </c>
      <c r="C39" s="28"/>
      <c r="D39" s="28"/>
      <c r="E39" s="28"/>
      <c r="F39" s="28"/>
      <c r="G39" s="28"/>
      <c r="H39" s="29"/>
    </row>
    <row r="40" spans="2:8">
      <c r="B40" s="259" t="s">
        <v>1048</v>
      </c>
      <c r="C40" s="260"/>
      <c r="D40" s="260"/>
      <c r="E40" s="260"/>
      <c r="F40" s="260"/>
      <c r="G40" s="260"/>
      <c r="H40" s="261"/>
    </row>
    <row r="41" spans="2:8">
      <c r="B41" s="107" t="s">
        <v>1049</v>
      </c>
      <c r="C41" s="88" t="s">
        <v>1050</v>
      </c>
      <c r="D41" s="88" t="s">
        <v>1051</v>
      </c>
      <c r="E41" s="22"/>
      <c r="G41" s="20"/>
      <c r="H41" s="31"/>
    </row>
    <row r="42" spans="2:8">
      <c r="B42" s="108">
        <v>1</v>
      </c>
      <c r="C42" s="215"/>
      <c r="D42" s="215"/>
      <c r="E42" s="22"/>
      <c r="F42" s="20"/>
      <c r="G42" s="20"/>
      <c r="H42" s="31"/>
    </row>
    <row r="43" spans="2:8">
      <c r="B43" s="108">
        <v>2</v>
      </c>
      <c r="C43" s="215"/>
      <c r="D43" s="215"/>
      <c r="E43" s="22"/>
      <c r="F43" s="20"/>
      <c r="G43" s="20"/>
      <c r="H43" s="31"/>
    </row>
    <row r="44" spans="2:8">
      <c r="B44" s="108">
        <v>3</v>
      </c>
      <c r="C44" s="215"/>
      <c r="D44" s="215"/>
      <c r="E44" s="22"/>
      <c r="F44" s="20"/>
      <c r="G44" s="20"/>
      <c r="H44" s="31"/>
    </row>
    <row r="45" spans="2:8">
      <c r="B45" s="108">
        <v>4</v>
      </c>
      <c r="C45" s="215"/>
      <c r="D45" s="215"/>
      <c r="E45" s="22"/>
      <c r="F45" s="20"/>
      <c r="G45" s="20"/>
      <c r="H45" s="31"/>
    </row>
    <row r="46" spans="2:8">
      <c r="B46" s="108">
        <v>5</v>
      </c>
      <c r="C46" s="215"/>
      <c r="D46" s="215"/>
      <c r="E46" s="22"/>
      <c r="F46" s="20"/>
      <c r="G46" s="20"/>
      <c r="H46" s="31"/>
    </row>
    <row r="47" spans="2:8">
      <c r="B47" s="108">
        <v>6</v>
      </c>
      <c r="C47" s="215"/>
      <c r="D47" s="215"/>
      <c r="E47" s="22"/>
      <c r="F47" s="20"/>
      <c r="G47" s="20"/>
      <c r="H47" s="31"/>
    </row>
    <row r="48" spans="2:8">
      <c r="B48" s="108">
        <v>7</v>
      </c>
      <c r="C48" s="215"/>
      <c r="D48" s="215"/>
      <c r="E48" s="22"/>
      <c r="F48" s="20"/>
      <c r="G48" s="20"/>
      <c r="H48" s="31"/>
    </row>
    <row r="49" spans="2:8">
      <c r="B49" s="108">
        <v>8</v>
      </c>
      <c r="C49" s="215"/>
      <c r="D49" s="215"/>
      <c r="E49" s="22"/>
      <c r="F49" s="20"/>
      <c r="G49" s="20"/>
      <c r="H49" s="31"/>
    </row>
    <row r="50" spans="2:8">
      <c r="B50" s="108">
        <v>9</v>
      </c>
      <c r="C50" s="215"/>
      <c r="D50" s="215"/>
      <c r="E50" s="22"/>
      <c r="F50" s="20"/>
      <c r="G50" s="20"/>
      <c r="H50" s="31"/>
    </row>
    <row r="51" spans="2:8">
      <c r="B51" s="108">
        <v>10</v>
      </c>
      <c r="C51" s="216"/>
      <c r="D51" s="216"/>
      <c r="E51" s="20"/>
      <c r="F51" s="20"/>
      <c r="G51" s="20"/>
      <c r="H51" s="31"/>
    </row>
    <row r="52" spans="2:8">
      <c r="B52" s="109"/>
      <c r="C52" s="89"/>
      <c r="D52" s="89"/>
      <c r="E52" s="20"/>
      <c r="F52" s="20"/>
      <c r="G52" s="20"/>
      <c r="H52" s="31"/>
    </row>
    <row r="53" spans="2:8">
      <c r="B53" s="259" t="s">
        <v>1052</v>
      </c>
      <c r="C53" s="260"/>
      <c r="D53" s="260"/>
      <c r="E53" s="260"/>
      <c r="F53" s="260"/>
      <c r="G53" s="260"/>
      <c r="H53" s="261"/>
    </row>
    <row r="54" spans="2:8">
      <c r="B54" s="107" t="s">
        <v>1053</v>
      </c>
      <c r="C54" s="88" t="s">
        <v>1054</v>
      </c>
      <c r="D54" s="262" t="s">
        <v>1055</v>
      </c>
      <c r="E54" s="262"/>
      <c r="F54" s="262"/>
      <c r="G54" s="262"/>
      <c r="H54" s="263"/>
    </row>
    <row r="55" spans="2:8">
      <c r="B55" s="108">
        <v>10</v>
      </c>
      <c r="C55" s="215"/>
      <c r="D55" s="262"/>
      <c r="E55" s="262"/>
      <c r="F55" s="262"/>
      <c r="G55" s="262"/>
      <c r="H55" s="263"/>
    </row>
    <row r="56" spans="2:8">
      <c r="B56" s="108">
        <v>15</v>
      </c>
      <c r="C56" s="215"/>
      <c r="D56" s="262"/>
      <c r="E56" s="262"/>
      <c r="F56" s="262"/>
      <c r="G56" s="262"/>
      <c r="H56" s="263"/>
    </row>
    <row r="57" spans="2:8">
      <c r="B57" s="108">
        <v>20</v>
      </c>
      <c r="C57" s="215"/>
      <c r="D57" s="262"/>
      <c r="E57" s="262"/>
      <c r="F57" s="262"/>
      <c r="G57" s="262"/>
      <c r="H57" s="263"/>
    </row>
    <row r="58" spans="2:8">
      <c r="B58" s="108">
        <v>30</v>
      </c>
      <c r="C58" s="215"/>
      <c r="D58" s="262"/>
      <c r="E58" s="262"/>
      <c r="F58" s="262"/>
      <c r="G58" s="262"/>
      <c r="H58" s="263"/>
    </row>
    <row r="59" spans="2:8">
      <c r="B59" s="108">
        <v>40</v>
      </c>
      <c r="C59" s="215"/>
      <c r="D59" s="262"/>
      <c r="E59" s="262"/>
      <c r="F59" s="262"/>
      <c r="G59" s="262"/>
      <c r="H59" s="263"/>
    </row>
    <row r="60" spans="2:8">
      <c r="B60" s="108">
        <v>50</v>
      </c>
      <c r="C60" s="215"/>
      <c r="D60" s="262"/>
      <c r="E60" s="262"/>
      <c r="F60" s="262"/>
      <c r="G60" s="262"/>
      <c r="H60" s="263"/>
    </row>
    <row r="61" spans="2:8">
      <c r="B61" s="108">
        <v>60</v>
      </c>
      <c r="C61" s="215"/>
      <c r="D61" s="262"/>
      <c r="E61" s="262"/>
      <c r="F61" s="262"/>
      <c r="G61" s="262"/>
      <c r="H61" s="263"/>
    </row>
    <row r="62" spans="2:8">
      <c r="B62" s="108">
        <v>70</v>
      </c>
      <c r="C62" s="215"/>
      <c r="D62" s="262"/>
      <c r="E62" s="262"/>
      <c r="F62" s="262"/>
      <c r="G62" s="262"/>
      <c r="H62" s="263"/>
    </row>
    <row r="63" spans="2:8">
      <c r="B63" s="108">
        <v>80</v>
      </c>
      <c r="C63" s="215"/>
      <c r="D63" s="262"/>
      <c r="E63" s="262"/>
      <c r="F63" s="262"/>
      <c r="G63" s="262"/>
      <c r="H63" s="263"/>
    </row>
    <row r="64" spans="2:8">
      <c r="B64" s="108">
        <v>90</v>
      </c>
      <c r="C64" s="215"/>
      <c r="D64" s="262"/>
      <c r="E64" s="262"/>
      <c r="F64" s="262"/>
      <c r="G64" s="262"/>
      <c r="H64" s="263"/>
    </row>
    <row r="65" spans="2:8">
      <c r="B65" s="108">
        <v>100</v>
      </c>
      <c r="C65" s="215"/>
      <c r="D65" s="262"/>
      <c r="E65" s="262"/>
      <c r="F65" s="262"/>
      <c r="G65" s="262"/>
      <c r="H65" s="263"/>
    </row>
    <row r="66" spans="2:8">
      <c r="B66" s="30"/>
      <c r="H66" s="31"/>
    </row>
    <row r="67" spans="2:8">
      <c r="B67" s="259" t="s">
        <v>1056</v>
      </c>
      <c r="C67" s="260"/>
      <c r="D67" s="260"/>
      <c r="E67" s="260"/>
      <c r="F67" s="260"/>
      <c r="G67" s="260"/>
      <c r="H67" s="261"/>
    </row>
    <row r="68" spans="2:8">
      <c r="B68" s="30" t="s">
        <v>1057</v>
      </c>
      <c r="H68" s="31"/>
    </row>
    <row r="69" spans="2:8" ht="60.75" customHeight="1">
      <c r="B69" s="217"/>
      <c r="D69" s="262" t="s">
        <v>1058</v>
      </c>
      <c r="E69" s="262"/>
      <c r="F69" s="262"/>
      <c r="G69" s="262"/>
      <c r="H69" s="110"/>
    </row>
    <row r="70" spans="2:8" ht="15.75" thickBot="1">
      <c r="B70" s="43"/>
      <c r="C70" s="33"/>
      <c r="D70" s="111"/>
      <c r="E70" s="111"/>
      <c r="F70" s="111"/>
      <c r="G70" s="111"/>
      <c r="H70" s="112"/>
    </row>
    <row r="71" spans="2:8" ht="15.75" thickBot="1">
      <c r="D71" s="90"/>
      <c r="E71" s="90"/>
      <c r="F71" s="90"/>
      <c r="G71" s="90"/>
      <c r="H71" s="90"/>
    </row>
    <row r="72" spans="2:8">
      <c r="B72" s="27" t="s">
        <v>1059</v>
      </c>
      <c r="C72" s="28"/>
      <c r="D72" s="28"/>
      <c r="E72" s="28"/>
      <c r="F72" s="28"/>
      <c r="G72" s="28"/>
      <c r="H72" s="29"/>
    </row>
    <row r="73" spans="2:8">
      <c r="B73" s="41"/>
      <c r="H73" s="31"/>
    </row>
    <row r="74" spans="2:8">
      <c r="B74" s="61" t="s">
        <v>1060</v>
      </c>
      <c r="C74" s="11"/>
      <c r="F74" s="20" t="s">
        <v>1061</v>
      </c>
      <c r="G74" s="11"/>
      <c r="H74" s="31"/>
    </row>
    <row r="75" spans="2:8">
      <c r="B75" s="61" t="s">
        <v>1062</v>
      </c>
      <c r="C75" s="11"/>
      <c r="F75" s="23" t="s">
        <v>1063</v>
      </c>
      <c r="G75" s="11"/>
      <c r="H75" s="31"/>
    </row>
    <row r="76" spans="2:8">
      <c r="B76" s="61" t="s">
        <v>1064</v>
      </c>
      <c r="C76" s="11"/>
      <c r="F76" s="20" t="s">
        <v>1065</v>
      </c>
      <c r="G76" s="11"/>
      <c r="H76" s="31"/>
    </row>
    <row r="77" spans="2:8">
      <c r="B77" s="61" t="s">
        <v>1066</v>
      </c>
      <c r="C77" s="11"/>
      <c r="F77" s="20" t="s">
        <v>1067</v>
      </c>
      <c r="G77" s="11"/>
      <c r="H77" s="31"/>
    </row>
    <row r="78" spans="2:8">
      <c r="B78" s="106" t="s">
        <v>1068</v>
      </c>
      <c r="C78" s="11"/>
      <c r="F78" s="23" t="s">
        <v>1069</v>
      </c>
      <c r="G78" s="11"/>
      <c r="H78" s="31"/>
    </row>
    <row r="79" spans="2:8">
      <c r="B79" s="41" t="s">
        <v>1070</v>
      </c>
      <c r="H79" s="31"/>
    </row>
    <row r="80" spans="2:8">
      <c r="B80" s="61" t="s">
        <v>1071</v>
      </c>
      <c r="C80" s="11"/>
      <c r="H80" s="31"/>
    </row>
    <row r="81" spans="2:8">
      <c r="B81" s="61" t="s">
        <v>1072</v>
      </c>
      <c r="C81" s="11"/>
      <c r="F81" s="20" t="s">
        <v>1073</v>
      </c>
      <c r="G81" s="11"/>
      <c r="H81" s="31"/>
    </row>
    <row r="82" spans="2:8">
      <c r="B82" s="61" t="s">
        <v>1074</v>
      </c>
      <c r="C82" s="11"/>
      <c r="F82" s="20"/>
      <c r="H82" s="31"/>
    </row>
    <row r="83" spans="2:8">
      <c r="B83" s="61" t="s">
        <v>1075</v>
      </c>
      <c r="C83" s="11"/>
      <c r="F83" s="20" t="s">
        <v>1076</v>
      </c>
      <c r="G83" s="11"/>
      <c r="H83" s="31"/>
    </row>
    <row r="84" spans="2:8">
      <c r="B84" s="61" t="s">
        <v>1077</v>
      </c>
      <c r="C84" s="11"/>
      <c r="F84" s="20"/>
      <c r="H84" s="31"/>
    </row>
    <row r="85" spans="2:8">
      <c r="B85" s="61" t="s">
        <v>1078</v>
      </c>
      <c r="C85" s="11"/>
      <c r="F85" s="20" t="s">
        <v>1079</v>
      </c>
      <c r="G85" s="11"/>
      <c r="H85" s="31"/>
    </row>
    <row r="86" spans="2:8">
      <c r="B86" s="61" t="s">
        <v>1080</v>
      </c>
      <c r="C86" s="11"/>
      <c r="F86" s="20"/>
      <c r="H86" s="31"/>
    </row>
    <row r="87" spans="2:8">
      <c r="B87" s="61" t="s">
        <v>1081</v>
      </c>
      <c r="C87" s="11"/>
      <c r="F87" s="20" t="s">
        <v>1082</v>
      </c>
      <c r="G87" s="11"/>
      <c r="H87" s="31"/>
    </row>
    <row r="88" spans="2:8" ht="15.75" thickBot="1">
      <c r="B88" s="66"/>
      <c r="C88" s="33"/>
      <c r="D88" s="33"/>
      <c r="E88" s="33"/>
      <c r="F88" s="33"/>
      <c r="G88" s="33"/>
      <c r="H88" s="34"/>
    </row>
    <row r="89" spans="2:8">
      <c r="D89" s="90"/>
      <c r="E89" s="90"/>
      <c r="F89" s="90"/>
      <c r="G89" s="90"/>
      <c r="H89" s="90"/>
    </row>
    <row r="90" spans="2:8">
      <c r="D90" s="90"/>
      <c r="E90" s="90"/>
      <c r="F90" s="90"/>
      <c r="G90" s="90"/>
      <c r="H90" s="90"/>
    </row>
    <row r="91" spans="2:8">
      <c r="D91" s="90"/>
      <c r="E91" s="90"/>
      <c r="F91" s="90"/>
      <c r="G91" s="90"/>
      <c r="H91" s="90"/>
    </row>
    <row r="92" spans="2:8">
      <c r="D92" s="90"/>
      <c r="E92" s="90"/>
      <c r="F92" s="90"/>
      <c r="G92" s="90"/>
      <c r="H92" s="90"/>
    </row>
    <row r="93" spans="2:8">
      <c r="D93" s="90"/>
      <c r="E93" s="90"/>
      <c r="F93" s="90"/>
      <c r="G93" s="90"/>
      <c r="H93" s="90"/>
    </row>
    <row r="94" spans="2:8">
      <c r="D94" s="90"/>
      <c r="E94" s="90"/>
      <c r="F94" s="90"/>
      <c r="G94" s="90"/>
      <c r="H94" s="90"/>
    </row>
    <row r="95" spans="2:8">
      <c r="D95" s="90"/>
      <c r="E95" s="90"/>
      <c r="F95" s="90"/>
      <c r="G95" s="90"/>
      <c r="H95" s="90"/>
    </row>
  </sheetData>
  <sheetProtection algorithmName="SHA-512" hashValue="n5rJgEjNq7yeTE3hWBc4YD5/JLl7qpOh2xovxEn7KQSLDmGlACtCUDTS+hfqn9Yp2szvFXnSpqaiIQH3EEJ1zg==" saltValue="EzOTpk7t9o1UnLrqpxrCIA==" spinCount="100000" sheet="1" objects="1" scenarios="1"/>
  <mergeCells count="5">
    <mergeCell ref="B40:H40"/>
    <mergeCell ref="B53:H53"/>
    <mergeCell ref="D54:H65"/>
    <mergeCell ref="B67:H67"/>
    <mergeCell ref="D69:G69"/>
  </mergeCells>
  <conditionalFormatting sqref="C8:C12">
    <cfRule type="containsBlanks" dxfId="87" priority="16">
      <formula>LEN(TRIM(C8))=0</formula>
    </cfRule>
  </conditionalFormatting>
  <conditionalFormatting sqref="C14">
    <cfRule type="containsText" dxfId="86" priority="48" operator="containsText" text="&lt;Choose&gt;">
      <formula>NOT(ISERROR(SEARCH("&lt;Choose&gt;",C14)))</formula>
    </cfRule>
  </conditionalFormatting>
  <conditionalFormatting sqref="C15:C18">
    <cfRule type="containsBlanks" dxfId="85" priority="20">
      <formula>LEN(TRIM(C15))=0</formula>
    </cfRule>
  </conditionalFormatting>
  <conditionalFormatting sqref="C20:C22">
    <cfRule type="containsText" dxfId="84" priority="70" operator="containsText" text="&lt;Choose&gt;">
      <formula>NOT(ISERROR(SEARCH("&lt;Choose&gt;",C20)))</formula>
    </cfRule>
  </conditionalFormatting>
  <conditionalFormatting sqref="C23">
    <cfRule type="containsBlanks" dxfId="83" priority="45">
      <formula>LEN(TRIM(C23))=0</formula>
    </cfRule>
  </conditionalFormatting>
  <conditionalFormatting sqref="C24:C25">
    <cfRule type="containsText" dxfId="82" priority="24" operator="containsText" text="&lt;Choose&gt;">
      <formula>NOT(ISERROR(SEARCH("&lt;Choose&gt;",C24)))</formula>
    </cfRule>
  </conditionalFormatting>
  <conditionalFormatting sqref="C29">
    <cfRule type="containsText" dxfId="81" priority="68" operator="containsText" text="&lt;Choose&gt;">
      <formula>NOT(ISERROR(SEARCH("&lt;Choose&gt;",C29)))</formula>
    </cfRule>
  </conditionalFormatting>
  <conditionalFormatting sqref="C30:C31">
    <cfRule type="containsBlanks" dxfId="80" priority="12">
      <formula>LEN(TRIM(C30))=0</formula>
    </cfRule>
  </conditionalFormatting>
  <conditionalFormatting sqref="C32">
    <cfRule type="containsText" dxfId="79" priority="14" operator="containsText" text="&lt;Choose&gt;">
      <formula>NOT(ISERROR(SEARCH("&lt;Choose&gt;",C32)))</formula>
    </cfRule>
  </conditionalFormatting>
  <conditionalFormatting sqref="C33:C35">
    <cfRule type="containsBlanks" dxfId="78" priority="1">
      <formula>LEN(TRIM(C33))=0</formula>
    </cfRule>
  </conditionalFormatting>
  <conditionalFormatting sqref="C74:C78">
    <cfRule type="containsBlanks" dxfId="77" priority="52">
      <formula>LEN(TRIM(C74))=0</formula>
    </cfRule>
  </conditionalFormatting>
  <conditionalFormatting sqref="C80:C87">
    <cfRule type="containsBlanks" dxfId="76" priority="36">
      <formula>LEN(TRIM(C80))=0</formula>
    </cfRule>
  </conditionalFormatting>
  <conditionalFormatting sqref="F29:F35">
    <cfRule type="expression" dxfId="75" priority="29">
      <formula>C29="Other"</formula>
    </cfRule>
  </conditionalFormatting>
  <conditionalFormatting sqref="G11:G12">
    <cfRule type="containsBlanks" dxfId="74" priority="76">
      <formula>LEN(TRIM(G11))=0</formula>
    </cfRule>
  </conditionalFormatting>
  <conditionalFormatting sqref="G29:G35">
    <cfRule type="notContainsBlanks" dxfId="73" priority="27">
      <formula>LEN(TRIM(G29))&gt;0</formula>
    </cfRule>
    <cfRule type="expression" dxfId="72" priority="28">
      <formula>C29="Other"</formula>
    </cfRule>
  </conditionalFormatting>
  <conditionalFormatting sqref="G74:G78 G81">
    <cfRule type="containsBlanks" dxfId="71" priority="51">
      <formula>LEN(TRIM(G74))=0</formula>
    </cfRule>
  </conditionalFormatting>
  <conditionalFormatting sqref="G83">
    <cfRule type="containsBlanks" dxfId="70" priority="39">
      <formula>LEN(TRIM(G83))=0</formula>
    </cfRule>
  </conditionalFormatting>
  <conditionalFormatting sqref="G85">
    <cfRule type="containsBlanks" dxfId="69" priority="35">
      <formula>LEN(TRIM(G85))=0</formula>
    </cfRule>
  </conditionalFormatting>
  <conditionalFormatting sqref="G87">
    <cfRule type="containsBlanks" dxfId="68" priority="37">
      <formula>LEN(TRIM(G87))=0</formula>
    </cfRule>
  </conditionalFormatting>
  <dataValidations count="5">
    <dataValidation type="list" allowBlank="1" showInputMessage="1" showErrorMessage="1" sqref="C21" xr:uid="{00000000-0002-0000-0500-000000000000}">
      <formula1>"&lt;Choose&gt;,Yes,No"</formula1>
    </dataValidation>
    <dataValidation type="list" allowBlank="1" showInputMessage="1" showErrorMessage="1" sqref="C20" xr:uid="{00000000-0002-0000-0500-000001000000}">
      <formula1>"&lt;Choose&gt;,Own,Lease,License,Option to Own/Lease,Site control not currently available"</formula1>
    </dataValidation>
    <dataValidation type="decimal" errorStyle="information" allowBlank="1" showInputMessage="1" showErrorMessage="1" error="Please enter the voltage as a number only in kV" sqref="C16" xr:uid="{00000000-0002-0000-0500-000002000000}">
      <formula1>0</formula1>
      <formula2>1000</formula2>
    </dataValidation>
    <dataValidation type="list" allowBlank="1" showInputMessage="1" showErrorMessage="1" sqref="C14" xr:uid="{00000000-0002-0000-0500-000003000000}">
      <formula1>"&lt;Choose&gt;, NYSEG, RG&amp;E"</formula1>
    </dataValidation>
    <dataValidation type="list" allowBlank="1" showInputMessage="1" showErrorMessage="1" sqref="C32" xr:uid="{00000000-0002-0000-0500-000004000000}">
      <formula1>"&lt;Choose&gt;, Lead Acid, Lithium Ion, Nicket Metal Hydride, Vandium Flow, Other"</formula1>
    </dataValidation>
  </dataValidations>
  <printOptions horizontalCentered="1"/>
  <pageMargins left="0" right="0" top="0" bottom="0" header="0" footer="0"/>
  <pageSetup scale="71" orientation="landscape" horizontalDpi="4294967293"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5000000}">
          <x14:formula1>
            <xm:f>Lists!$C$17:$C$21</xm:f>
          </x14:formula1>
          <xm:sqref>C22</xm:sqref>
        </x14:dataValidation>
        <x14:dataValidation type="list" allowBlank="1" showInputMessage="1" showErrorMessage="1" xr:uid="{00000000-0002-0000-0500-000006000000}">
          <x14:formula1>
            <xm:f>Lists!$C$30:$C$37</xm:f>
          </x14:formula1>
          <xm:sqref>C29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2B73E-EBA6-454C-AE59-783650DD1387}">
  <sheetPr codeName="Sheet9"/>
  <dimension ref="B1:G23"/>
  <sheetViews>
    <sheetView showGridLines="0" zoomScaleNormal="100" workbookViewId="0"/>
  </sheetViews>
  <sheetFormatPr defaultColWidth="10.85546875" defaultRowHeight="15"/>
  <cols>
    <col min="1" max="1" width="10.85546875" style="92"/>
    <col min="2" max="2" width="17.5703125" style="92" customWidth="1"/>
    <col min="3" max="3" width="37.85546875" style="92" customWidth="1"/>
    <col min="4" max="7" width="26.85546875" style="92" customWidth="1"/>
    <col min="8" max="16384" width="10.85546875" style="92"/>
  </cols>
  <sheetData>
    <row r="1" spans="2:7" ht="15.75" thickBot="1"/>
    <row r="2" spans="2:7" ht="18.75">
      <c r="B2" s="118" t="s">
        <v>1083</v>
      </c>
      <c r="C2" s="119"/>
      <c r="D2" s="119" t="s">
        <v>960</v>
      </c>
      <c r="E2" s="121"/>
      <c r="F2" s="121"/>
      <c r="G2" s="122"/>
    </row>
    <row r="3" spans="2:7" ht="18.75">
      <c r="B3" s="120" t="str">
        <f>+Instructions!B3</f>
        <v>Version 1.0 - April 7, 2025</v>
      </c>
      <c r="C3" s="25"/>
      <c r="D3" s="25" t="s">
        <v>962</v>
      </c>
      <c r="E3"/>
      <c r="F3"/>
      <c r="G3" s="123"/>
    </row>
    <row r="4" spans="2:7" ht="15.75" thickBot="1">
      <c r="B4" s="124"/>
      <c r="C4" s="125"/>
      <c r="D4" s="125"/>
      <c r="E4" s="125"/>
      <c r="F4" s="125"/>
      <c r="G4" s="126"/>
    </row>
    <row r="6" spans="2:7">
      <c r="B6" s="92" t="s">
        <v>1084</v>
      </c>
    </row>
    <row r="7" spans="2:7" ht="15.75" thickBot="1"/>
    <row r="8" spans="2:7" customFormat="1" ht="24.95" customHeight="1">
      <c r="B8" s="135"/>
      <c r="C8" s="136" t="s">
        <v>1085</v>
      </c>
      <c r="D8" s="136" t="s">
        <v>1086</v>
      </c>
      <c r="E8" s="136" t="s">
        <v>1087</v>
      </c>
      <c r="F8" s="136" t="s">
        <v>1088</v>
      </c>
      <c r="G8" s="137" t="s">
        <v>1089</v>
      </c>
    </row>
    <row r="9" spans="2:7">
      <c r="B9" s="266" t="s">
        <v>132</v>
      </c>
      <c r="C9" s="268" t="s">
        <v>1090</v>
      </c>
      <c r="D9" s="270" t="s">
        <v>1091</v>
      </c>
      <c r="E9" s="272" t="s">
        <v>1092</v>
      </c>
      <c r="F9" s="270" t="s">
        <v>1093</v>
      </c>
      <c r="G9" s="264" t="s">
        <v>1094</v>
      </c>
    </row>
    <row r="10" spans="2:7" ht="29.1" customHeight="1">
      <c r="B10" s="267"/>
      <c r="C10" s="269"/>
      <c r="D10" s="271"/>
      <c r="E10" s="271"/>
      <c r="F10" s="271"/>
      <c r="G10" s="265"/>
    </row>
    <row r="11" spans="2:7">
      <c r="B11" s="127" t="s">
        <v>1095</v>
      </c>
      <c r="C11" s="218"/>
      <c r="D11" s="218"/>
      <c r="E11" s="218"/>
      <c r="F11" s="218"/>
      <c r="G11" s="219"/>
    </row>
    <row r="12" spans="2:7" ht="60">
      <c r="B12" s="128" t="s">
        <v>1096</v>
      </c>
      <c r="C12" s="114" t="s">
        <v>1097</v>
      </c>
      <c r="D12" s="115" t="s">
        <v>1098</v>
      </c>
      <c r="E12" s="115" t="s">
        <v>1099</v>
      </c>
      <c r="F12" s="114" t="s">
        <v>1100</v>
      </c>
      <c r="G12" s="129" t="s">
        <v>1101</v>
      </c>
    </row>
    <row r="13" spans="2:7">
      <c r="B13" s="130" t="s">
        <v>1095</v>
      </c>
      <c r="C13" s="218"/>
      <c r="D13" s="218"/>
      <c r="E13" s="218"/>
      <c r="F13" s="218"/>
      <c r="G13" s="219"/>
    </row>
    <row r="14" spans="2:7">
      <c r="B14" s="266" t="s">
        <v>136</v>
      </c>
      <c r="C14" s="268" t="s">
        <v>1102</v>
      </c>
      <c r="D14" s="272" t="s">
        <v>1103</v>
      </c>
      <c r="E14" s="272" t="s">
        <v>1104</v>
      </c>
      <c r="F14" s="272" t="s">
        <v>1105</v>
      </c>
      <c r="G14" s="264" t="s">
        <v>1106</v>
      </c>
    </row>
    <row r="15" spans="2:7" ht="29.1" customHeight="1">
      <c r="B15" s="267"/>
      <c r="C15" s="269"/>
      <c r="D15" s="271"/>
      <c r="E15" s="271"/>
      <c r="F15" s="271"/>
      <c r="G15" s="265"/>
    </row>
    <row r="16" spans="2:7">
      <c r="B16" s="127" t="s">
        <v>1095</v>
      </c>
      <c r="C16" s="218"/>
      <c r="D16" s="218"/>
      <c r="E16" s="218"/>
      <c r="F16" s="218"/>
      <c r="G16" s="219"/>
    </row>
    <row r="17" spans="2:7">
      <c r="B17" s="275" t="s">
        <v>1107</v>
      </c>
      <c r="C17" s="277" t="s">
        <v>1108</v>
      </c>
      <c r="D17" s="279" t="s">
        <v>1109</v>
      </c>
      <c r="E17" s="279" t="s">
        <v>1110</v>
      </c>
      <c r="F17" s="279" t="s">
        <v>1111</v>
      </c>
      <c r="G17" s="273" t="s">
        <v>1112</v>
      </c>
    </row>
    <row r="18" spans="2:7" ht="30.95" customHeight="1">
      <c r="B18" s="276"/>
      <c r="C18" s="278"/>
      <c r="D18" s="280"/>
      <c r="E18" s="280"/>
      <c r="F18" s="280"/>
      <c r="G18" s="274"/>
    </row>
    <row r="19" spans="2:7">
      <c r="B19" s="130" t="s">
        <v>1095</v>
      </c>
      <c r="C19" s="218"/>
      <c r="D19" s="218"/>
      <c r="E19" s="218"/>
      <c r="F19" s="218"/>
      <c r="G19" s="219"/>
    </row>
    <row r="20" spans="2:7" ht="40.5" customHeight="1">
      <c r="B20" s="131" t="s">
        <v>1113</v>
      </c>
      <c r="C20" s="116" t="s">
        <v>1114</v>
      </c>
      <c r="D20" s="116" t="s">
        <v>1115</v>
      </c>
      <c r="E20" s="116" t="s">
        <v>1116</v>
      </c>
      <c r="F20" s="116" t="s">
        <v>1117</v>
      </c>
      <c r="G20" s="132" t="s">
        <v>1118</v>
      </c>
    </row>
    <row r="21" spans="2:7">
      <c r="B21" s="127" t="s">
        <v>1095</v>
      </c>
      <c r="C21" s="218"/>
      <c r="D21" s="218"/>
      <c r="E21" s="218"/>
      <c r="F21" s="218"/>
      <c r="G21" s="219"/>
    </row>
    <row r="22" spans="2:7" ht="48.6" customHeight="1">
      <c r="B22" s="128" t="s">
        <v>1119</v>
      </c>
      <c r="C22" s="117" t="s">
        <v>1097</v>
      </c>
      <c r="D22" s="117" t="s">
        <v>1120</v>
      </c>
      <c r="E22" s="117" t="s">
        <v>1121</v>
      </c>
      <c r="F22" s="117" t="s">
        <v>1122</v>
      </c>
      <c r="G22" s="133" t="s">
        <v>1123</v>
      </c>
    </row>
    <row r="23" spans="2:7" ht="15.75" thickBot="1">
      <c r="B23" s="134" t="s">
        <v>1095</v>
      </c>
      <c r="C23" s="220"/>
      <c r="D23" s="220"/>
      <c r="E23" s="220"/>
      <c r="F23" s="220"/>
      <c r="G23" s="221"/>
    </row>
  </sheetData>
  <sheetProtection algorithmName="SHA-512" hashValue="ezCsAWX1JNJTHZGfXaFkIEdkUglzLBAwfjV6p4dx3XMfRVXUmfNwL6XiQ8JoOLO3LsW4rO87/PRMfitMEOHf6A==" saltValue="gc4hpwQCJe0dmBw+vO2seg==" spinCount="100000" sheet="1" objects="1" scenarios="1"/>
  <mergeCells count="18">
    <mergeCell ref="G17:G18"/>
    <mergeCell ref="B14:B15"/>
    <mergeCell ref="C14:C15"/>
    <mergeCell ref="D14:D15"/>
    <mergeCell ref="E14:E15"/>
    <mergeCell ref="F14:F15"/>
    <mergeCell ref="G14:G15"/>
    <mergeCell ref="B17:B18"/>
    <mergeCell ref="C17:C18"/>
    <mergeCell ref="D17:D18"/>
    <mergeCell ref="E17:E18"/>
    <mergeCell ref="F17:F18"/>
    <mergeCell ref="G9:G10"/>
    <mergeCell ref="B9:B10"/>
    <mergeCell ref="C9:C10"/>
    <mergeCell ref="D9:D10"/>
    <mergeCell ref="E9:E10"/>
    <mergeCell ref="F9:F10"/>
  </mergeCells>
  <pageMargins left="0.7" right="0.7" top="0.75" bottom="0.75" header="0.3" footer="0.3"/>
  <pageSetup orientation="portrait" r:id="rId1"/>
  <headerFooter>
    <oddFooter>&amp;C&amp;1#&amp;"Calibri"&amp;12&amp;K008000Internal Use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62A79-E767-47ED-B206-3C687A5C1420}">
  <sheetPr codeName="Sheet10">
    <pageSetUpPr fitToPage="1"/>
  </sheetPr>
  <dimension ref="B1:H20"/>
  <sheetViews>
    <sheetView showGridLines="0" zoomScaleNormal="100" workbookViewId="0"/>
  </sheetViews>
  <sheetFormatPr defaultColWidth="10.85546875" defaultRowHeight="15"/>
  <cols>
    <col min="1" max="1" width="7.85546875" customWidth="1"/>
    <col min="2" max="2" width="33.42578125" customWidth="1"/>
    <col min="3" max="7" width="26.140625" customWidth="1"/>
  </cols>
  <sheetData>
    <row r="1" spans="2:8" ht="15.75" thickBot="1"/>
    <row r="2" spans="2:8" ht="18.75">
      <c r="B2" s="44" t="s">
        <v>1124</v>
      </c>
      <c r="C2" s="37"/>
      <c r="D2" s="37"/>
      <c r="E2" s="37"/>
      <c r="F2" s="36" t="s">
        <v>960</v>
      </c>
      <c r="G2" s="38"/>
    </row>
    <row r="3" spans="2:8" ht="18.75">
      <c r="B3" s="46" t="str">
        <f>+Instructions!B3</f>
        <v>Version 1.0 - April 7, 2025</v>
      </c>
      <c r="F3" s="25" t="s">
        <v>962</v>
      </c>
      <c r="G3" s="31"/>
    </row>
    <row r="4" spans="2:8" ht="15.75" thickBot="1">
      <c r="B4" s="40"/>
      <c r="C4" s="33"/>
      <c r="D4" s="33"/>
      <c r="E4" s="33"/>
      <c r="F4" s="33"/>
      <c r="G4" s="34"/>
    </row>
    <row r="5" spans="2:8">
      <c r="B5" s="92"/>
      <c r="C5" s="92"/>
      <c r="D5" s="92"/>
      <c r="E5" s="92"/>
      <c r="F5" s="92"/>
      <c r="G5" s="92"/>
      <c r="H5" s="92"/>
    </row>
    <row r="6" spans="2:8">
      <c r="B6" s="92" t="s">
        <v>1125</v>
      </c>
      <c r="C6" s="92"/>
      <c r="D6" s="92"/>
      <c r="E6" s="92"/>
      <c r="F6" s="92"/>
      <c r="G6" s="92"/>
      <c r="H6" s="92"/>
    </row>
    <row r="7" spans="2:8" ht="15.75" thickBot="1">
      <c r="B7" s="92"/>
      <c r="C7" s="92"/>
      <c r="D7" s="92"/>
      <c r="E7" s="92"/>
      <c r="F7" s="92"/>
      <c r="G7" s="92"/>
      <c r="H7" s="92"/>
    </row>
    <row r="8" spans="2:8">
      <c r="B8" s="103" t="s">
        <v>1126</v>
      </c>
      <c r="C8" s="104" t="s">
        <v>1127</v>
      </c>
      <c r="D8" s="104" t="s">
        <v>1128</v>
      </c>
      <c r="E8" s="104" t="s">
        <v>1129</v>
      </c>
      <c r="F8" s="104" t="s">
        <v>1130</v>
      </c>
      <c r="G8" s="105" t="s">
        <v>1131</v>
      </c>
    </row>
    <row r="9" spans="2:8" ht="45">
      <c r="B9" s="95" t="s">
        <v>1132</v>
      </c>
      <c r="C9" s="93" t="s">
        <v>1133</v>
      </c>
      <c r="D9" s="93" t="s">
        <v>1134</v>
      </c>
      <c r="E9" s="93" t="s">
        <v>1135</v>
      </c>
      <c r="F9" s="93" t="s">
        <v>1136</v>
      </c>
      <c r="G9" s="96"/>
    </row>
    <row r="10" spans="2:8">
      <c r="B10" s="97" t="s">
        <v>1137</v>
      </c>
      <c r="C10" s="94"/>
      <c r="D10" s="94"/>
      <c r="E10" s="94"/>
      <c r="F10" s="94"/>
      <c r="G10" s="98"/>
    </row>
    <row r="11" spans="2:8" ht="45">
      <c r="B11" s="99" t="s">
        <v>1138</v>
      </c>
      <c r="C11" s="222"/>
      <c r="D11" s="223"/>
      <c r="E11" s="222"/>
      <c r="F11" s="222"/>
      <c r="G11" s="224"/>
    </row>
    <row r="12" spans="2:8">
      <c r="B12" s="100" t="s">
        <v>1139</v>
      </c>
      <c r="C12" s="222"/>
      <c r="D12" s="222"/>
      <c r="E12" s="222"/>
      <c r="F12" s="222"/>
      <c r="G12" s="225"/>
    </row>
    <row r="13" spans="2:8">
      <c r="B13" s="101" t="s">
        <v>1140</v>
      </c>
      <c r="C13" s="223"/>
      <c r="D13" s="223"/>
      <c r="E13" s="223"/>
      <c r="F13" s="223"/>
      <c r="G13" s="226"/>
    </row>
    <row r="14" spans="2:8">
      <c r="B14" s="101" t="s">
        <v>1141</v>
      </c>
      <c r="C14" s="223"/>
      <c r="D14" s="223"/>
      <c r="E14" s="223"/>
      <c r="F14" s="223"/>
      <c r="G14" s="226"/>
    </row>
    <row r="15" spans="2:8">
      <c r="B15" s="97" t="s">
        <v>1142</v>
      </c>
      <c r="C15" s="94"/>
      <c r="D15" s="94"/>
      <c r="E15" s="94"/>
      <c r="F15" s="94"/>
      <c r="G15" s="98"/>
    </row>
    <row r="16" spans="2:8">
      <c r="B16" s="101" t="s">
        <v>1143</v>
      </c>
      <c r="C16" s="227"/>
      <c r="D16" s="227"/>
      <c r="E16" s="227"/>
      <c r="F16" s="227"/>
      <c r="G16" s="228"/>
    </row>
    <row r="17" spans="2:7">
      <c r="B17" s="101" t="s">
        <v>1144</v>
      </c>
      <c r="C17" s="227"/>
      <c r="D17" s="227"/>
      <c r="E17" s="227"/>
      <c r="F17" s="227"/>
      <c r="G17" s="228"/>
    </row>
    <row r="18" spans="2:7">
      <c r="B18" s="101" t="s">
        <v>1145</v>
      </c>
      <c r="C18" s="227"/>
      <c r="D18" s="227"/>
      <c r="E18" s="227"/>
      <c r="F18" s="227"/>
      <c r="G18" s="228"/>
    </row>
    <row r="19" spans="2:7">
      <c r="B19" s="101" t="s">
        <v>1146</v>
      </c>
      <c r="C19" s="227"/>
      <c r="D19" s="227"/>
      <c r="E19" s="227"/>
      <c r="F19" s="227"/>
      <c r="G19" s="228"/>
    </row>
    <row r="20" spans="2:7" ht="15.75" thickBot="1">
      <c r="B20" s="102" t="s">
        <v>1147</v>
      </c>
      <c r="C20" s="229"/>
      <c r="D20" s="229"/>
      <c r="E20" s="229"/>
      <c r="F20" s="229"/>
      <c r="G20" s="230"/>
    </row>
  </sheetData>
  <sheetProtection algorithmName="SHA-512" hashValue="FHLPmNKcxGzM3gZqKtssKPCtZWKkXUNE7EBJDNBgtl75wkVK1buNMFrJS1y5Ugr8RbvaA5nU4ZW3piMF5P8B+A==" saltValue="qRh6NbOWFO359pMR+6BZ1A==" spinCount="100000" sheet="1" objects="1" scenarios="1"/>
  <pageMargins left="0.2" right="0.2" top="0.25" bottom="0.25" header="0.3" footer="0.3"/>
  <pageSetup scale="82"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F44"/>
  <sheetViews>
    <sheetView showGridLines="0" tabSelected="1" zoomScaleNormal="100" workbookViewId="0"/>
  </sheetViews>
  <sheetFormatPr defaultColWidth="8.85546875" defaultRowHeight="15"/>
  <cols>
    <col min="1" max="1" width="7.85546875" customWidth="1"/>
    <col min="2" max="2" width="86.85546875" customWidth="1"/>
    <col min="3" max="3" width="19.140625" customWidth="1"/>
    <col min="4" max="4" width="4.85546875" customWidth="1"/>
    <col min="5" max="5" width="19.140625" customWidth="1"/>
    <col min="6" max="6" width="11.140625" customWidth="1"/>
  </cols>
  <sheetData>
    <row r="1" spans="2:6" ht="15.75" thickBot="1"/>
    <row r="2" spans="2:6" ht="18.75">
      <c r="B2" s="44" t="s">
        <v>1148</v>
      </c>
      <c r="C2" s="36" t="s">
        <v>960</v>
      </c>
      <c r="D2" s="37"/>
      <c r="E2" s="37"/>
      <c r="F2" s="38"/>
    </row>
    <row r="3" spans="2:6" ht="18.75">
      <c r="B3" s="46" t="str">
        <f>+Instructions!B3</f>
        <v>Version 1.0 - April 7, 2025</v>
      </c>
      <c r="C3" s="25" t="s">
        <v>962</v>
      </c>
      <c r="F3" s="31"/>
    </row>
    <row r="4" spans="2:6" ht="15.75" thickBot="1">
      <c r="B4" s="40"/>
      <c r="C4" s="33"/>
      <c r="D4" s="33"/>
      <c r="E4" s="33"/>
      <c r="F4" s="34"/>
    </row>
    <row r="5" spans="2:6" ht="15.75" thickBot="1"/>
    <row r="6" spans="2:6">
      <c r="B6" s="27" t="s">
        <v>1149</v>
      </c>
      <c r="C6" s="28"/>
      <c r="D6" s="28"/>
      <c r="E6" s="28"/>
      <c r="F6" s="29"/>
    </row>
    <row r="7" spans="2:6">
      <c r="B7" s="41" t="s">
        <v>1150</v>
      </c>
      <c r="F7" s="31"/>
    </row>
    <row r="8" spans="2:6">
      <c r="B8" s="61" t="s">
        <v>1151</v>
      </c>
      <c r="C8" s="15"/>
      <c r="F8" s="31"/>
    </row>
    <row r="9" spans="2:6">
      <c r="B9" s="61" t="s">
        <v>1152</v>
      </c>
      <c r="C9" s="15"/>
      <c r="F9" s="31"/>
    </row>
    <row r="10" spans="2:6">
      <c r="B10" s="61" t="s">
        <v>1153</v>
      </c>
      <c r="C10" s="15"/>
      <c r="F10" s="31"/>
    </row>
    <row r="11" spans="2:6">
      <c r="B11" s="61" t="s">
        <v>1154</v>
      </c>
      <c r="C11" s="15"/>
      <c r="F11" s="31"/>
    </row>
    <row r="12" spans="2:6">
      <c r="B12" s="61" t="s">
        <v>1155</v>
      </c>
      <c r="C12" s="16">
        <f>SUM(C8:C11)</f>
        <v>0</v>
      </c>
      <c r="E12" t="s">
        <v>1156</v>
      </c>
      <c r="F12" s="74">
        <f>IFERROR(C12/$C$39,0)</f>
        <v>0</v>
      </c>
    </row>
    <row r="13" spans="2:6">
      <c r="B13" s="61" t="s">
        <v>1157</v>
      </c>
      <c r="C13" s="15"/>
      <c r="E13" t="s">
        <v>1156</v>
      </c>
      <c r="F13" s="74">
        <f t="shared" ref="F13:F15" si="0">IFERROR(C13/$C$39,0)</f>
        <v>0</v>
      </c>
    </row>
    <row r="14" spans="2:6">
      <c r="B14" s="61" t="s">
        <v>1158</v>
      </c>
      <c r="C14" s="15"/>
      <c r="E14" t="s">
        <v>1156</v>
      </c>
      <c r="F14" s="74">
        <f t="shared" si="0"/>
        <v>0</v>
      </c>
    </row>
    <row r="15" spans="2:6">
      <c r="B15" s="61" t="s">
        <v>1159</v>
      </c>
      <c r="C15" s="15"/>
      <c r="E15" t="s">
        <v>1156</v>
      </c>
      <c r="F15" s="74">
        <f t="shared" si="0"/>
        <v>0</v>
      </c>
    </row>
    <row r="16" spans="2:6">
      <c r="B16" s="30"/>
      <c r="F16" s="31"/>
    </row>
    <row r="17" spans="2:6">
      <c r="B17" s="41" t="s">
        <v>1160</v>
      </c>
      <c r="F17" s="31"/>
    </row>
    <row r="18" spans="2:6">
      <c r="B18" s="61" t="s">
        <v>1161</v>
      </c>
      <c r="C18" s="15"/>
      <c r="F18" s="31"/>
    </row>
    <row r="19" spans="2:6">
      <c r="B19" s="61" t="s">
        <v>1162</v>
      </c>
      <c r="C19" s="15"/>
      <c r="F19" s="31"/>
    </row>
    <row r="20" spans="2:6">
      <c r="B20" s="61" t="s">
        <v>1163</v>
      </c>
      <c r="C20" s="15"/>
      <c r="F20" s="31"/>
    </row>
    <row r="21" spans="2:6">
      <c r="B21" s="61" t="s">
        <v>1164</v>
      </c>
      <c r="C21" s="15"/>
      <c r="F21" s="31"/>
    </row>
    <row r="22" spans="2:6">
      <c r="B22" s="61" t="s">
        <v>1165</v>
      </c>
      <c r="C22" s="15"/>
      <c r="F22" s="31"/>
    </row>
    <row r="23" spans="2:6">
      <c r="B23" s="61" t="s">
        <v>1166</v>
      </c>
      <c r="C23" s="15"/>
      <c r="F23" s="31"/>
    </row>
    <row r="24" spans="2:6">
      <c r="B24" s="61" t="s">
        <v>1167</v>
      </c>
      <c r="C24" s="15"/>
      <c r="F24" s="31"/>
    </row>
    <row r="25" spans="2:6">
      <c r="B25" s="61" t="s">
        <v>1168</v>
      </c>
      <c r="C25" s="15"/>
      <c r="F25" s="31"/>
    </row>
    <row r="26" spans="2:6">
      <c r="B26" s="61" t="s">
        <v>1169</v>
      </c>
      <c r="C26" s="15"/>
      <c r="F26" s="31"/>
    </row>
    <row r="27" spans="2:6">
      <c r="B27" s="61" t="s">
        <v>1170</v>
      </c>
      <c r="C27" s="15"/>
      <c r="F27" s="31"/>
    </row>
    <row r="28" spans="2:6">
      <c r="B28" s="61" t="s">
        <v>1171</v>
      </c>
      <c r="C28" s="15"/>
      <c r="F28" s="31"/>
    </row>
    <row r="29" spans="2:6">
      <c r="B29" s="61" t="s">
        <v>1172</v>
      </c>
      <c r="C29" s="15"/>
      <c r="F29" s="31"/>
    </row>
    <row r="30" spans="2:6">
      <c r="B30" s="61" t="s">
        <v>1173</v>
      </c>
      <c r="C30" s="15"/>
      <c r="F30" s="31"/>
    </row>
    <row r="31" spans="2:6">
      <c r="B31" s="61" t="s">
        <v>1174</v>
      </c>
      <c r="C31" s="15"/>
      <c r="F31" s="31"/>
    </row>
    <row r="32" spans="2:6">
      <c r="B32" s="61" t="s">
        <v>1175</v>
      </c>
      <c r="C32" s="15"/>
      <c r="F32" s="31"/>
    </row>
    <row r="33" spans="2:6">
      <c r="B33" s="30"/>
      <c r="C33" s="16"/>
      <c r="F33" s="31"/>
    </row>
    <row r="34" spans="2:6">
      <c r="B34" s="81" t="s">
        <v>1176</v>
      </c>
      <c r="C34" s="15"/>
      <c r="F34" s="31"/>
    </row>
    <row r="35" spans="2:6" ht="15" customHeight="1">
      <c r="B35" s="81" t="s">
        <v>1177</v>
      </c>
      <c r="C35" s="15"/>
      <c r="F35" s="31"/>
    </row>
    <row r="36" spans="2:6" ht="15.75" thickBot="1">
      <c r="B36" s="43"/>
      <c r="C36" s="33"/>
      <c r="D36" s="33"/>
      <c r="E36" s="33"/>
      <c r="F36" s="34"/>
    </row>
    <row r="37" spans="2:6" ht="15.75" thickBot="1">
      <c r="B37" s="75" t="s">
        <v>1178</v>
      </c>
      <c r="C37" s="76"/>
      <c r="D37" s="76"/>
      <c r="E37" s="76"/>
      <c r="F37" s="77"/>
    </row>
    <row r="38" spans="2:6">
      <c r="B38" s="41"/>
      <c r="F38" s="31"/>
    </row>
    <row r="39" spans="2:6">
      <c r="B39" s="61" t="s">
        <v>1179</v>
      </c>
      <c r="C39" s="113"/>
      <c r="F39" s="31"/>
    </row>
    <row r="40" spans="2:6">
      <c r="B40" s="61" t="s">
        <v>1180</v>
      </c>
      <c r="C40" s="16">
        <f>C39*(1/15)</f>
        <v>0</v>
      </c>
      <c r="F40" s="31"/>
    </row>
    <row r="41" spans="2:6">
      <c r="B41" s="61" t="s">
        <v>1181</v>
      </c>
      <c r="C41" s="16">
        <f>(C39-C40)/15</f>
        <v>0</v>
      </c>
      <c r="F41" s="31"/>
    </row>
    <row r="42" spans="2:6" ht="15.75" thickBot="1">
      <c r="B42" s="80"/>
      <c r="C42" s="33"/>
      <c r="D42" s="33"/>
      <c r="E42" s="33"/>
      <c r="F42" s="34"/>
    </row>
    <row r="43" spans="2:6">
      <c r="B43" s="1"/>
    </row>
    <row r="44" spans="2:6">
      <c r="B44" t="s">
        <v>1182</v>
      </c>
    </row>
  </sheetData>
  <sheetProtection algorithmName="SHA-512" hashValue="6vTFV857L/+w2va04VadUhYxtw3r2cgg2bG+Wo0ELSGPjbjd788XkFTTPQWGnO9rMVbAVGeVglXTjJoizI4/rw==" saltValue="20a7wyn771cjqaS0m7Dyfg==" spinCount="100000" sheet="1" objects="1" scenarios="1"/>
  <conditionalFormatting sqref="C8:C11">
    <cfRule type="cellIs" dxfId="67" priority="9" operator="equal">
      <formula>0</formula>
    </cfRule>
    <cfRule type="containsBlanks" dxfId="66" priority="10">
      <formula>LEN(TRIM(C8))=0</formula>
    </cfRule>
  </conditionalFormatting>
  <conditionalFormatting sqref="C13:C15">
    <cfRule type="cellIs" dxfId="65" priority="7" operator="equal">
      <formula>0</formula>
    </cfRule>
    <cfRule type="containsBlanks" dxfId="64" priority="8">
      <formula>LEN(TRIM(C13))=0</formula>
    </cfRule>
  </conditionalFormatting>
  <conditionalFormatting sqref="C18:C32">
    <cfRule type="cellIs" dxfId="63" priority="1" operator="equal">
      <formula>0</formula>
    </cfRule>
    <cfRule type="containsBlanks" dxfId="62" priority="2">
      <formula>LEN(TRIM(C18))=0</formula>
    </cfRule>
  </conditionalFormatting>
  <conditionalFormatting sqref="C34:C35 C39">
    <cfRule type="cellIs" dxfId="61" priority="15" operator="equal">
      <formula>0</formula>
    </cfRule>
    <cfRule type="containsBlanks" dxfId="60" priority="16">
      <formula>LEN(TRIM(C34))=0</formula>
    </cfRule>
  </conditionalFormatting>
  <printOptions horizontalCentered="1"/>
  <pageMargins left="0" right="0" top="0" bottom="0" header="0" footer="0"/>
  <pageSetup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94e309-6a41-4f9b-9001-9bcd70a20a3f">
      <Terms xmlns="http://schemas.microsoft.com/office/infopath/2007/PartnerControls"/>
    </lcf76f155ced4ddcb4097134ff3c332f>
    <TaxCatchAll xmlns="38776c0c-b2d2-42ed-9960-d72daacf3a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BB3296D4DF64D967C188BB918DB95" ma:contentTypeVersion="15" ma:contentTypeDescription="Create a new document." ma:contentTypeScope="" ma:versionID="e32ec41201461aa8d969f2229bdd0b9b">
  <xsd:schema xmlns:xsd="http://www.w3.org/2001/XMLSchema" xmlns:xs="http://www.w3.org/2001/XMLSchema" xmlns:p="http://schemas.microsoft.com/office/2006/metadata/properties" xmlns:ns2="6094e309-6a41-4f9b-9001-9bcd70a20a3f" xmlns:ns3="38776c0c-b2d2-42ed-9960-d72daacf3a5c" targetNamespace="http://schemas.microsoft.com/office/2006/metadata/properties" ma:root="true" ma:fieldsID="92dbb8198408a983fa0f742a88c83156" ns2:_="" ns3:_="">
    <xsd:import namespace="6094e309-6a41-4f9b-9001-9bcd70a20a3f"/>
    <xsd:import namespace="38776c0c-b2d2-42ed-9960-d72daacf3a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4e309-6a41-4f9b-9001-9bcd70a20a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76c0c-b2d2-42ed-9960-d72daacf3a5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695a02-0721-48e4-96b1-329e3b65963f}" ma:internalName="TaxCatchAll" ma:showField="CatchAllData" ma:web="38776c0c-b2d2-42ed-9960-d72daacf3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FFE5BD-9B62-4F37-9128-ACFF93044256}"/>
</file>

<file path=customXml/itemProps2.xml><?xml version="1.0" encoding="utf-8"?>
<ds:datastoreItem xmlns:ds="http://schemas.openxmlformats.org/officeDocument/2006/customXml" ds:itemID="{D92D147B-767A-4813-8762-968E966E1924}"/>
</file>

<file path=customXml/itemProps3.xml><?xml version="1.0" encoding="utf-8"?>
<ds:datastoreItem xmlns:ds="http://schemas.openxmlformats.org/officeDocument/2006/customXml" ds:itemID="{D8C0A58D-71DF-4CA7-A57A-74C5FD2B18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Chandler Miller</dc:creator>
  <cp:keywords/>
  <dc:description/>
  <cp:lastModifiedBy>Furlong, John</cp:lastModifiedBy>
  <cp:revision/>
  <dcterms:created xsi:type="dcterms:W3CDTF">2019-04-09T16:53:26Z</dcterms:created>
  <dcterms:modified xsi:type="dcterms:W3CDTF">2025-06-06T15:15:57Z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{6C28F5A4-9B80-4A13-AE00-0A3A252E3609}</vt:lpwstr>
  </property>
  <property fmtid="{D5CDD505-2E9C-101B-9397-08002B2CF9AE}" pid="3" name="ContentTypeId">
    <vt:lpwstr>0x0101007B7BB3296D4DF64D967C188BB918DB95</vt:lpwstr>
  </property>
  <property fmtid="{D5CDD505-2E9C-101B-9397-08002B2CF9AE}" pid="4" name="MSIP_Label_624b1752-a977-4927-b9e6-e48a43684aee_Enabled">
    <vt:lpwstr>true</vt:lpwstr>
  </property>
  <property fmtid="{D5CDD505-2E9C-101B-9397-08002B2CF9AE}" pid="5" name="MSIP_Label_624b1752-a977-4927-b9e6-e48a43684aee_SetDate">
    <vt:lpwstr>2021-08-31T16:38:06Z</vt:lpwstr>
  </property>
  <property fmtid="{D5CDD505-2E9C-101B-9397-08002B2CF9AE}" pid="6" name="MSIP_Label_624b1752-a977-4927-b9e6-e48a43684aee_Method">
    <vt:lpwstr>Privileged</vt:lpwstr>
  </property>
  <property fmtid="{D5CDD505-2E9C-101B-9397-08002B2CF9AE}" pid="7" name="MSIP_Label_624b1752-a977-4927-b9e6-e48a43684aee_Name">
    <vt:lpwstr>Public</vt:lpwstr>
  </property>
  <property fmtid="{D5CDD505-2E9C-101B-9397-08002B2CF9AE}" pid="8" name="MSIP_Label_624b1752-a977-4927-b9e6-e48a43684aee_SiteId">
    <vt:lpwstr>031a09bc-a2bf-44df-888e-4e09355b7a24</vt:lpwstr>
  </property>
  <property fmtid="{D5CDD505-2E9C-101B-9397-08002B2CF9AE}" pid="9" name="MSIP_Label_624b1752-a977-4927-b9e6-e48a43684aee_ActionId">
    <vt:lpwstr>8a667a4c-bbdd-4948-93ca-3d2b2b4db0aa</vt:lpwstr>
  </property>
  <property fmtid="{D5CDD505-2E9C-101B-9397-08002B2CF9AE}" pid="10" name="MSIP_Label_624b1752-a977-4927-b9e6-e48a43684aee_ContentBits">
    <vt:lpwstr>0</vt:lpwstr>
  </property>
  <property fmtid="{D5CDD505-2E9C-101B-9397-08002B2CF9AE}" pid="11" name="MediaServiceImageTags">
    <vt:lpwstr/>
  </property>
</Properties>
</file>